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U700" i="1"/>
  <c r="V699"/>
  <c r="U699"/>
  <c r="U698"/>
  <c r="V697"/>
  <c r="U697"/>
  <c r="V696"/>
  <c r="U696"/>
  <c r="V695"/>
  <c r="U695"/>
  <c r="V694"/>
  <c r="U694"/>
  <c r="V693"/>
  <c r="U693"/>
  <c r="V692"/>
  <c r="U692"/>
  <c r="V691"/>
  <c r="U691"/>
  <c r="V690"/>
  <c r="U690"/>
  <c r="V689"/>
  <c r="U689"/>
  <c r="V688"/>
  <c r="U688"/>
  <c r="V687"/>
  <c r="U687"/>
  <c r="V685"/>
  <c r="U685"/>
  <c r="V684"/>
  <c r="U684"/>
  <c r="V683"/>
  <c r="U683"/>
  <c r="V682"/>
  <c r="U682"/>
  <c r="V681"/>
  <c r="U681"/>
  <c r="V680"/>
  <c r="U680"/>
  <c r="V679"/>
  <c r="U679"/>
  <c r="V678"/>
  <c r="U678"/>
  <c r="V677"/>
  <c r="U677"/>
  <c r="V676"/>
  <c r="U676"/>
  <c r="V675"/>
  <c r="U675"/>
  <c r="V674"/>
  <c r="U674"/>
  <c r="V673"/>
  <c r="U673"/>
  <c r="V672"/>
  <c r="U672"/>
  <c r="V671"/>
  <c r="U671"/>
  <c r="V670"/>
  <c r="U670"/>
  <c r="V669"/>
  <c r="U669"/>
  <c r="V668"/>
  <c r="U668"/>
  <c r="V667"/>
  <c r="U667"/>
  <c r="U666"/>
  <c r="V665"/>
  <c r="U665"/>
  <c r="V664"/>
  <c r="U664"/>
  <c r="V663"/>
  <c r="U663"/>
  <c r="V662"/>
  <c r="U662"/>
  <c r="V661"/>
  <c r="U661"/>
  <c r="V660"/>
  <c r="U660"/>
  <c r="V659"/>
  <c r="U659"/>
  <c r="V658"/>
  <c r="U658"/>
  <c r="U657"/>
  <c r="V656"/>
  <c r="U656"/>
  <c r="V655"/>
  <c r="U655"/>
  <c r="V654"/>
  <c r="U654"/>
  <c r="V653"/>
  <c r="U653"/>
  <c r="V652"/>
  <c r="U652"/>
  <c r="V651"/>
  <c r="U651"/>
  <c r="V650"/>
  <c r="U650"/>
  <c r="V649"/>
  <c r="U649"/>
  <c r="V648"/>
  <c r="U648"/>
  <c r="V647"/>
  <c r="U647"/>
  <c r="V646"/>
  <c r="U646"/>
  <c r="V645"/>
  <c r="U645"/>
  <c r="V644"/>
  <c r="U644"/>
  <c r="V643"/>
  <c r="U643"/>
  <c r="V642"/>
  <c r="U642"/>
  <c r="V641"/>
  <c r="U641"/>
  <c r="V640"/>
  <c r="U640"/>
  <c r="V639"/>
  <c r="U639"/>
  <c r="V638"/>
  <c r="U638"/>
  <c r="V637"/>
  <c r="U637"/>
  <c r="V636"/>
  <c r="U636"/>
  <c r="V635"/>
  <c r="U635"/>
  <c r="V634"/>
  <c r="U634"/>
  <c r="V633"/>
  <c r="U633"/>
  <c r="V632"/>
  <c r="U632"/>
  <c r="V631"/>
  <c r="U631"/>
  <c r="V630"/>
  <c r="U630"/>
  <c r="V629"/>
  <c r="U629"/>
  <c r="V628"/>
  <c r="U628"/>
  <c r="V627"/>
  <c r="U627"/>
  <c r="V626"/>
  <c r="U626"/>
  <c r="V625"/>
  <c r="U625"/>
  <c r="V624"/>
  <c r="U624"/>
  <c r="U623"/>
  <c r="V622"/>
  <c r="U622"/>
  <c r="V621"/>
  <c r="U621"/>
  <c r="V620"/>
  <c r="U620"/>
  <c r="V619"/>
  <c r="U619"/>
  <c r="U618"/>
  <c r="V617"/>
  <c r="U617"/>
  <c r="U616"/>
  <c r="V615"/>
  <c r="U615"/>
  <c r="V614"/>
  <c r="U614"/>
  <c r="V613"/>
  <c r="U613"/>
  <c r="V612"/>
  <c r="U612"/>
  <c r="V611"/>
  <c r="U611"/>
  <c r="V610"/>
  <c r="U610"/>
  <c r="V609"/>
  <c r="U609"/>
  <c r="V608"/>
  <c r="U608"/>
  <c r="V607"/>
  <c r="U607"/>
  <c r="V606"/>
  <c r="U606"/>
  <c r="U605"/>
  <c r="V602"/>
  <c r="U602"/>
  <c r="V601"/>
  <c r="U601"/>
  <c r="V600"/>
  <c r="U600"/>
  <c r="V599"/>
  <c r="U599"/>
  <c r="V598"/>
  <c r="U598"/>
  <c r="V597"/>
  <c r="U597"/>
  <c r="V596"/>
  <c r="U596"/>
  <c r="V595"/>
  <c r="U595"/>
  <c r="V594"/>
  <c r="U594"/>
  <c r="V593"/>
  <c r="U593"/>
  <c r="V592"/>
  <c r="U592"/>
  <c r="V591"/>
  <c r="U591"/>
  <c r="V590"/>
  <c r="U590"/>
  <c r="V589"/>
  <c r="U589"/>
  <c r="V588"/>
  <c r="U588"/>
  <c r="U587"/>
  <c r="V586"/>
  <c r="U586"/>
  <c r="V585"/>
  <c r="U585"/>
  <c r="V584"/>
  <c r="V583"/>
  <c r="U583"/>
  <c r="V582"/>
  <c r="U582"/>
  <c r="V581"/>
  <c r="U581"/>
  <c r="V580"/>
  <c r="U580"/>
  <c r="V579"/>
  <c r="U579"/>
  <c r="V578"/>
  <c r="U578"/>
  <c r="V577"/>
  <c r="U577"/>
  <c r="V576"/>
  <c r="U576"/>
  <c r="V575"/>
  <c r="U575"/>
  <c r="V574"/>
  <c r="U574"/>
  <c r="V573"/>
  <c r="U573"/>
  <c r="V572"/>
  <c r="U572"/>
  <c r="V571"/>
  <c r="U571"/>
  <c r="V570"/>
  <c r="U570"/>
  <c r="V569"/>
  <c r="U569"/>
  <c r="U568"/>
  <c r="V567"/>
  <c r="U567"/>
  <c r="V566"/>
  <c r="U566"/>
  <c r="V565"/>
  <c r="U565"/>
  <c r="V563"/>
  <c r="U563"/>
  <c r="V562"/>
  <c r="U562"/>
  <c r="V561"/>
  <c r="U561"/>
  <c r="V560"/>
  <c r="U560"/>
  <c r="V559"/>
  <c r="U559"/>
  <c r="V558"/>
  <c r="U558"/>
  <c r="V557"/>
  <c r="U557"/>
  <c r="V556"/>
  <c r="U556"/>
  <c r="V555"/>
  <c r="U555"/>
  <c r="V554"/>
  <c r="U554"/>
  <c r="V553"/>
  <c r="U553"/>
  <c r="V552"/>
  <c r="U552"/>
  <c r="V551"/>
  <c r="U551"/>
  <c r="V550"/>
  <c r="U550"/>
  <c r="V549"/>
  <c r="U549"/>
  <c r="V548"/>
  <c r="U548"/>
  <c r="V547"/>
  <c r="U547"/>
  <c r="V546"/>
  <c r="U546"/>
  <c r="V545"/>
  <c r="U545"/>
  <c r="V544"/>
  <c r="U544"/>
  <c r="V543"/>
  <c r="U543"/>
  <c r="V542"/>
  <c r="U542"/>
  <c r="V541"/>
  <c r="U541"/>
  <c r="V540"/>
  <c r="U540"/>
  <c r="V539"/>
  <c r="U539"/>
  <c r="V538"/>
  <c r="V537"/>
  <c r="U537"/>
  <c r="V536"/>
  <c r="U536"/>
  <c r="V535"/>
  <c r="U535"/>
  <c r="V534"/>
  <c r="U534"/>
  <c r="V533"/>
  <c r="U533"/>
  <c r="V532"/>
  <c r="U532"/>
  <c r="V531"/>
  <c r="U531"/>
  <c r="V530"/>
  <c r="U530"/>
  <c r="V529"/>
  <c r="U529"/>
  <c r="V528"/>
  <c r="U528"/>
  <c r="U527"/>
  <c r="V526"/>
  <c r="U526"/>
  <c r="V525"/>
  <c r="U525"/>
  <c r="V524"/>
  <c r="U524"/>
  <c r="V523"/>
  <c r="U523"/>
  <c r="V522"/>
  <c r="U522"/>
  <c r="V521"/>
  <c r="U521"/>
  <c r="V520"/>
  <c r="U520"/>
  <c r="V519"/>
  <c r="U519"/>
  <c r="U518"/>
  <c r="V517"/>
  <c r="U517"/>
  <c r="V516"/>
  <c r="U516"/>
  <c r="V515"/>
  <c r="U515"/>
  <c r="V514"/>
  <c r="U514"/>
  <c r="V513"/>
  <c r="U513"/>
  <c r="V512"/>
  <c r="U512"/>
  <c r="V511"/>
  <c r="U511"/>
  <c r="V510"/>
  <c r="U510"/>
  <c r="V509"/>
  <c r="U509"/>
  <c r="V508"/>
  <c r="U508"/>
  <c r="V507"/>
  <c r="U507"/>
  <c r="V506"/>
  <c r="U506"/>
  <c r="V505"/>
  <c r="U505"/>
  <c r="V504"/>
  <c r="U504"/>
  <c r="V503"/>
  <c r="U503"/>
  <c r="U502"/>
  <c r="V501"/>
  <c r="U501"/>
  <c r="V500"/>
  <c r="U500"/>
  <c r="V499"/>
  <c r="U499"/>
  <c r="V498"/>
  <c r="U498"/>
  <c r="V497"/>
  <c r="U497"/>
  <c r="U496"/>
  <c r="V495"/>
  <c r="U495"/>
  <c r="V494"/>
  <c r="U494"/>
  <c r="V493"/>
  <c r="U493"/>
  <c r="V492"/>
  <c r="U492"/>
  <c r="V491"/>
  <c r="U491"/>
  <c r="V490"/>
  <c r="U490"/>
  <c r="V489"/>
  <c r="U489"/>
  <c r="U488"/>
  <c r="V487"/>
  <c r="U487"/>
  <c r="V486"/>
  <c r="U486"/>
  <c r="V485"/>
  <c r="U485"/>
  <c r="V484"/>
  <c r="U484"/>
  <c r="V483"/>
  <c r="U483"/>
  <c r="V482"/>
  <c r="U482"/>
  <c r="V481"/>
  <c r="U481"/>
  <c r="V480"/>
  <c r="U480"/>
  <c r="V479"/>
  <c r="U479"/>
  <c r="V478"/>
  <c r="U478"/>
  <c r="V477"/>
  <c r="U477"/>
  <c r="V476"/>
  <c r="U476"/>
  <c r="V475"/>
  <c r="U475"/>
  <c r="V474"/>
  <c r="U474"/>
  <c r="V473"/>
  <c r="U473"/>
  <c r="V472"/>
  <c r="U472"/>
  <c r="V471"/>
  <c r="U471"/>
  <c r="V470"/>
  <c r="U470"/>
  <c r="V469"/>
  <c r="U469"/>
  <c r="V468"/>
  <c r="U468"/>
  <c r="V467"/>
  <c r="U467"/>
  <c r="V465"/>
  <c r="U465"/>
  <c r="V464"/>
  <c r="U464"/>
  <c r="V463"/>
  <c r="U463"/>
  <c r="V462"/>
  <c r="U462"/>
  <c r="V461"/>
  <c r="U461"/>
  <c r="V460"/>
  <c r="U460"/>
  <c r="V459"/>
  <c r="U459"/>
  <c r="V458"/>
  <c r="U458"/>
  <c r="V457"/>
  <c r="U457"/>
  <c r="V456"/>
  <c r="U456"/>
  <c r="V455"/>
  <c r="U455"/>
  <c r="U454"/>
  <c r="V453"/>
  <c r="U453"/>
  <c r="V452"/>
  <c r="U452"/>
  <c r="V451"/>
  <c r="U451"/>
  <c r="V450"/>
  <c r="U450"/>
  <c r="V449"/>
  <c r="U449"/>
  <c r="V448"/>
  <c r="U448"/>
  <c r="V447"/>
  <c r="U447"/>
  <c r="V446"/>
  <c r="U446"/>
  <c r="V445"/>
  <c r="U445"/>
  <c r="V444"/>
  <c r="U444"/>
  <c r="U443"/>
  <c r="V442"/>
  <c r="U442"/>
  <c r="V441"/>
  <c r="U441"/>
  <c r="V440"/>
  <c r="U440"/>
  <c r="V439"/>
  <c r="U439"/>
  <c r="V438"/>
  <c r="U438"/>
  <c r="V437"/>
  <c r="U437"/>
  <c r="V436"/>
  <c r="U436"/>
  <c r="V435"/>
  <c r="U435"/>
  <c r="V434"/>
  <c r="U434"/>
  <c r="V433"/>
  <c r="U433"/>
  <c r="V432"/>
  <c r="U432"/>
  <c r="V431"/>
  <c r="U431"/>
  <c r="V430"/>
  <c r="U430"/>
  <c r="V429"/>
  <c r="U429"/>
  <c r="V428"/>
  <c r="U428"/>
  <c r="V427"/>
  <c r="U427"/>
  <c r="V426"/>
  <c r="U426"/>
  <c r="U425"/>
  <c r="V424"/>
  <c r="U424"/>
  <c r="U423"/>
  <c r="V422"/>
  <c r="U422"/>
  <c r="V421"/>
  <c r="U421"/>
  <c r="V420"/>
  <c r="U420"/>
  <c r="V419"/>
  <c r="U419"/>
  <c r="V418"/>
  <c r="U418"/>
  <c r="V417"/>
  <c r="U417"/>
  <c r="V416"/>
  <c r="U416"/>
  <c r="V415"/>
  <c r="U415"/>
  <c r="V414"/>
  <c r="U414"/>
  <c r="V413"/>
  <c r="U413"/>
  <c r="V412"/>
  <c r="U412"/>
  <c r="V411"/>
  <c r="U411"/>
  <c r="U410"/>
  <c r="V409"/>
  <c r="U409"/>
  <c r="V408"/>
  <c r="U408"/>
  <c r="V407"/>
  <c r="U407"/>
  <c r="V406"/>
  <c r="U406"/>
  <c r="V405"/>
  <c r="U405"/>
  <c r="V404"/>
  <c r="U404"/>
  <c r="V403"/>
  <c r="U403"/>
  <c r="V402"/>
  <c r="U402"/>
  <c r="V401"/>
  <c r="U401"/>
  <c r="V400"/>
  <c r="U400"/>
  <c r="V399"/>
  <c r="U399"/>
  <c r="V398"/>
  <c r="U398"/>
  <c r="V397"/>
  <c r="U397"/>
  <c r="V396"/>
  <c r="U396"/>
  <c r="V395"/>
  <c r="U395"/>
  <c r="V394"/>
  <c r="U394"/>
  <c r="V393"/>
  <c r="U393"/>
  <c r="V392"/>
  <c r="U392"/>
  <c r="V391"/>
  <c r="U391"/>
  <c r="V390"/>
  <c r="U390"/>
  <c r="V389"/>
  <c r="U389"/>
  <c r="V388"/>
  <c r="U388"/>
  <c r="V387"/>
  <c r="U387"/>
  <c r="V386"/>
  <c r="U386"/>
  <c r="V385"/>
  <c r="U385"/>
  <c r="V384"/>
  <c r="U384"/>
  <c r="V383"/>
  <c r="U383"/>
  <c r="V382"/>
  <c r="U382"/>
  <c r="V381"/>
  <c r="U381"/>
  <c r="V380"/>
  <c r="U380"/>
  <c r="V379"/>
  <c r="U379"/>
  <c r="V378"/>
  <c r="U378"/>
  <c r="V377"/>
  <c r="U377"/>
  <c r="V376"/>
  <c r="U376"/>
  <c r="V375"/>
  <c r="U375"/>
  <c r="V374"/>
  <c r="U374"/>
  <c r="V373"/>
  <c r="U373"/>
  <c r="V372"/>
  <c r="U372"/>
  <c r="V371"/>
  <c r="U371"/>
  <c r="V370"/>
  <c r="U370"/>
  <c r="V369"/>
  <c r="U369"/>
  <c r="V368"/>
  <c r="U368"/>
  <c r="V367"/>
  <c r="U367"/>
  <c r="V366"/>
  <c r="U366"/>
  <c r="V365"/>
  <c r="U365"/>
  <c r="V364"/>
  <c r="U364"/>
  <c r="V363"/>
  <c r="U363"/>
  <c r="V362"/>
  <c r="U362"/>
  <c r="V361"/>
  <c r="U361"/>
  <c r="V360"/>
  <c r="U360"/>
  <c r="V359"/>
  <c r="U359"/>
  <c r="V358"/>
  <c r="U358"/>
  <c r="V357"/>
  <c r="U357"/>
  <c r="V356"/>
  <c r="U356"/>
  <c r="V355"/>
  <c r="U355"/>
  <c r="V354"/>
  <c r="U354"/>
  <c r="V353"/>
  <c r="U353"/>
  <c r="U352"/>
  <c r="V351"/>
  <c r="U351"/>
  <c r="V350"/>
  <c r="U350"/>
  <c r="V349"/>
  <c r="U349"/>
  <c r="V348"/>
  <c r="U348"/>
  <c r="V347"/>
  <c r="U347"/>
  <c r="V346"/>
  <c r="U346"/>
  <c r="U345"/>
  <c r="V344"/>
  <c r="U344"/>
  <c r="V343"/>
  <c r="U343"/>
  <c r="U342"/>
  <c r="V341"/>
  <c r="U341"/>
  <c r="V340"/>
  <c r="U340"/>
  <c r="V339"/>
  <c r="U339"/>
  <c r="V338"/>
  <c r="U338"/>
  <c r="V337"/>
  <c r="U337"/>
  <c r="V336"/>
  <c r="U336"/>
  <c r="V335"/>
  <c r="U335"/>
  <c r="V334"/>
  <c r="U334"/>
  <c r="V333"/>
  <c r="U333"/>
  <c r="V332"/>
  <c r="U332"/>
  <c r="V331"/>
  <c r="U331"/>
  <c r="V330"/>
  <c r="U330"/>
  <c r="V329"/>
  <c r="U329"/>
  <c r="V328"/>
  <c r="U328"/>
  <c r="V327"/>
  <c r="U327"/>
  <c r="V326"/>
  <c r="U326"/>
  <c r="V325"/>
  <c r="U325"/>
  <c r="V324"/>
  <c r="U324"/>
  <c r="V323"/>
  <c r="U323"/>
  <c r="V322"/>
  <c r="U322"/>
  <c r="V321"/>
  <c r="U321"/>
  <c r="V320"/>
  <c r="U320"/>
  <c r="V319"/>
  <c r="U319"/>
  <c r="V318"/>
  <c r="U318"/>
  <c r="V317"/>
  <c r="U317"/>
  <c r="V316"/>
  <c r="U316"/>
  <c r="V315"/>
  <c r="U315"/>
  <c r="V314"/>
  <c r="U314"/>
  <c r="V313"/>
  <c r="U313"/>
  <c r="V312"/>
  <c r="U312"/>
  <c r="U311"/>
  <c r="V310"/>
  <c r="U310"/>
  <c r="V309"/>
  <c r="U309"/>
  <c r="V308"/>
  <c r="U308"/>
  <c r="V307"/>
  <c r="U307"/>
  <c r="V306"/>
  <c r="U306"/>
  <c r="V305"/>
  <c r="U305"/>
  <c r="V304"/>
  <c r="U304"/>
  <c r="V303"/>
  <c r="U303"/>
  <c r="V302"/>
  <c r="U302"/>
  <c r="U301"/>
  <c r="V300"/>
  <c r="U300"/>
  <c r="V299"/>
  <c r="U299"/>
  <c r="V298"/>
  <c r="U298"/>
  <c r="V297"/>
  <c r="U297"/>
  <c r="V296"/>
  <c r="U296"/>
  <c r="V295"/>
  <c r="U295"/>
  <c r="V294"/>
  <c r="U294"/>
  <c r="V293"/>
  <c r="U293"/>
  <c r="U292"/>
  <c r="V291"/>
  <c r="U291"/>
  <c r="V290"/>
  <c r="U290"/>
  <c r="V289"/>
  <c r="U289"/>
  <c r="V288"/>
  <c r="U288"/>
  <c r="V287"/>
  <c r="U287"/>
  <c r="V286"/>
  <c r="U286"/>
  <c r="V285"/>
  <c r="U285"/>
  <c r="V284"/>
  <c r="U284"/>
  <c r="V283"/>
  <c r="U283"/>
  <c r="V282"/>
  <c r="U282"/>
  <c r="V281"/>
  <c r="U281"/>
  <c r="V280"/>
  <c r="U280"/>
  <c r="V279"/>
  <c r="U279"/>
  <c r="U278"/>
  <c r="V277"/>
  <c r="U277"/>
  <c r="V276"/>
  <c r="U276"/>
  <c r="V275"/>
  <c r="U275"/>
  <c r="V274"/>
  <c r="U274"/>
  <c r="V273"/>
  <c r="U273"/>
  <c r="V272"/>
  <c r="U272"/>
  <c r="V271"/>
  <c r="U271"/>
  <c r="V270"/>
  <c r="U270"/>
  <c r="V269"/>
  <c r="U269"/>
  <c r="V268"/>
  <c r="U268"/>
  <c r="V267"/>
  <c r="U267"/>
  <c r="V266"/>
  <c r="U266"/>
  <c r="V265"/>
  <c r="U265"/>
  <c r="V264"/>
  <c r="U264"/>
  <c r="V263"/>
  <c r="U263"/>
  <c r="V262"/>
  <c r="U262"/>
  <c r="V261"/>
  <c r="U261"/>
  <c r="V260"/>
  <c r="U260"/>
  <c r="V259"/>
  <c r="U259"/>
  <c r="V258"/>
  <c r="U258"/>
  <c r="V257"/>
  <c r="U257"/>
  <c r="V256"/>
  <c r="U256"/>
  <c r="V255"/>
  <c r="U255"/>
  <c r="V254"/>
  <c r="U254"/>
  <c r="U253"/>
  <c r="V252"/>
  <c r="U252"/>
  <c r="V251"/>
  <c r="U251"/>
  <c r="V250"/>
  <c r="U250"/>
  <c r="V249"/>
  <c r="U249"/>
  <c r="V248"/>
  <c r="U248"/>
  <c r="V247"/>
  <c r="U247"/>
  <c r="V246"/>
  <c r="U246"/>
  <c r="V245"/>
  <c r="U245"/>
  <c r="V244"/>
  <c r="U244"/>
  <c r="V243"/>
  <c r="U243"/>
  <c r="V242"/>
  <c r="U242"/>
  <c r="V241"/>
  <c r="U241"/>
  <c r="V239"/>
  <c r="U239"/>
  <c r="V238"/>
  <c r="U238"/>
  <c r="V237"/>
  <c r="U237"/>
  <c r="V236"/>
  <c r="U236"/>
  <c r="V235"/>
  <c r="U235"/>
  <c r="V234"/>
  <c r="U234"/>
  <c r="V233"/>
  <c r="U233"/>
  <c r="V232"/>
  <c r="U232"/>
  <c r="V231"/>
  <c r="U231"/>
  <c r="V230"/>
  <c r="U230"/>
  <c r="V229"/>
  <c r="U229"/>
  <c r="V228"/>
  <c r="U228"/>
  <c r="V227"/>
  <c r="U227"/>
  <c r="V226"/>
  <c r="U226"/>
  <c r="V225"/>
  <c r="U225"/>
  <c r="V224"/>
  <c r="U224"/>
  <c r="V223"/>
  <c r="U223"/>
  <c r="V222"/>
  <c r="U222"/>
  <c r="V221"/>
  <c r="U221"/>
  <c r="V220"/>
  <c r="U220"/>
  <c r="V219"/>
  <c r="U219"/>
  <c r="V218"/>
  <c r="U218"/>
  <c r="V217"/>
  <c r="U217"/>
  <c r="V216"/>
  <c r="U216"/>
  <c r="V215"/>
  <c r="U215"/>
  <c r="U214"/>
  <c r="V213"/>
  <c r="U213"/>
  <c r="V212"/>
  <c r="U212"/>
  <c r="V211"/>
  <c r="U211"/>
  <c r="V210"/>
  <c r="U210"/>
  <c r="V209"/>
  <c r="U209"/>
  <c r="V208"/>
  <c r="U208"/>
  <c r="V207"/>
  <c r="U207"/>
  <c r="V205"/>
  <c r="U205"/>
  <c r="V204"/>
  <c r="U204"/>
  <c r="V203"/>
  <c r="U203"/>
  <c r="V202"/>
  <c r="U202"/>
  <c r="V201"/>
  <c r="V200"/>
  <c r="U200"/>
  <c r="U199"/>
  <c r="V198"/>
  <c r="U198"/>
  <c r="V197"/>
  <c r="U197"/>
  <c r="V196"/>
  <c r="U196"/>
  <c r="V195"/>
  <c r="U195"/>
  <c r="V194"/>
  <c r="U194"/>
  <c r="V193"/>
  <c r="U193"/>
  <c r="V192"/>
  <c r="U192"/>
  <c r="V191"/>
  <c r="U191"/>
  <c r="V190"/>
  <c r="U190"/>
  <c r="V189"/>
  <c r="U189"/>
  <c r="V188"/>
  <c r="U188"/>
  <c r="V187"/>
  <c r="U187"/>
  <c r="V186"/>
  <c r="U186"/>
  <c r="V185"/>
  <c r="U185"/>
  <c r="V184"/>
  <c r="U184"/>
  <c r="V183"/>
  <c r="U183"/>
  <c r="U182"/>
  <c r="V181"/>
  <c r="U181"/>
  <c r="V180"/>
  <c r="U180"/>
  <c r="V179"/>
  <c r="U179"/>
  <c r="V178"/>
  <c r="U178"/>
  <c r="V177"/>
  <c r="U177"/>
  <c r="V176"/>
  <c r="U176"/>
  <c r="V175"/>
  <c r="U175"/>
  <c r="V174"/>
  <c r="U174"/>
  <c r="V173"/>
  <c r="U173"/>
  <c r="V172"/>
  <c r="U172"/>
  <c r="V171"/>
  <c r="U171"/>
  <c r="V170"/>
  <c r="U170"/>
  <c r="V169"/>
  <c r="U169"/>
  <c r="V168"/>
  <c r="U168"/>
  <c r="V167"/>
  <c r="U167"/>
  <c r="V166"/>
  <c r="U166"/>
  <c r="V165"/>
  <c r="U165"/>
  <c r="V164"/>
  <c r="U164"/>
  <c r="V163"/>
  <c r="U163"/>
  <c r="V162"/>
  <c r="U162"/>
  <c r="V161"/>
  <c r="U161"/>
  <c r="V160"/>
  <c r="U160"/>
  <c r="V159"/>
  <c r="U159"/>
  <c r="V158"/>
  <c r="U158"/>
  <c r="V157"/>
  <c r="U157"/>
  <c r="V156"/>
  <c r="U156"/>
  <c r="V155"/>
  <c r="U155"/>
  <c r="V154"/>
  <c r="U154"/>
  <c r="V153"/>
  <c r="U153"/>
  <c r="U152"/>
  <c r="V151"/>
  <c r="U151"/>
  <c r="V150"/>
  <c r="U150"/>
  <c r="V149"/>
  <c r="U149"/>
  <c r="V148"/>
  <c r="U148"/>
  <c r="V147"/>
  <c r="U147"/>
  <c r="V146"/>
  <c r="U146"/>
  <c r="V145"/>
  <c r="U145"/>
  <c r="V144"/>
  <c r="U144"/>
  <c r="V143"/>
  <c r="U143"/>
  <c r="V142"/>
  <c r="U142"/>
  <c r="V141"/>
  <c r="U141"/>
  <c r="V140"/>
  <c r="U140"/>
  <c r="V139"/>
  <c r="U139"/>
  <c r="V138"/>
  <c r="U138"/>
  <c r="V137"/>
  <c r="U137"/>
  <c r="V136"/>
  <c r="U136"/>
  <c r="V135"/>
  <c r="U135"/>
  <c r="V134"/>
  <c r="U134"/>
  <c r="V133"/>
  <c r="U133"/>
  <c r="V132"/>
  <c r="U132"/>
  <c r="V131"/>
  <c r="U131"/>
  <c r="V130"/>
  <c r="U130"/>
  <c r="V129"/>
  <c r="U129"/>
  <c r="V128"/>
  <c r="U128"/>
  <c r="V127"/>
  <c r="U127"/>
  <c r="V126"/>
  <c r="U126"/>
  <c r="V125"/>
  <c r="U125"/>
  <c r="V124"/>
  <c r="U124"/>
  <c r="V123"/>
  <c r="U123"/>
  <c r="V122"/>
  <c r="U122"/>
  <c r="V121"/>
  <c r="U121"/>
  <c r="V120"/>
  <c r="U120"/>
  <c r="V119"/>
  <c r="U119"/>
  <c r="V118"/>
  <c r="U118"/>
  <c r="V117"/>
  <c r="U117"/>
  <c r="V116"/>
  <c r="U116"/>
  <c r="V115"/>
  <c r="U115"/>
  <c r="V114"/>
  <c r="U114"/>
  <c r="V113"/>
  <c r="U113"/>
  <c r="V112"/>
  <c r="U112"/>
  <c r="V111"/>
  <c r="U111"/>
  <c r="V110"/>
  <c r="U110"/>
  <c r="V109"/>
  <c r="U109"/>
  <c r="V108"/>
  <c r="U108"/>
  <c r="V107"/>
  <c r="U107"/>
  <c r="V106"/>
  <c r="U106"/>
  <c r="V105"/>
  <c r="U105"/>
  <c r="V104"/>
  <c r="U104"/>
  <c r="V103"/>
  <c r="U103"/>
  <c r="V102"/>
  <c r="U102"/>
  <c r="V101"/>
  <c r="U101"/>
  <c r="V100"/>
  <c r="U100"/>
  <c r="V99"/>
  <c r="U99"/>
  <c r="V98"/>
  <c r="U98"/>
  <c r="V97"/>
  <c r="U97"/>
  <c r="V96"/>
  <c r="U96"/>
  <c r="V95"/>
  <c r="U95"/>
  <c r="V94"/>
  <c r="U94"/>
  <c r="V93"/>
  <c r="U93"/>
  <c r="V92"/>
  <c r="U92"/>
  <c r="V91"/>
  <c r="U91"/>
  <c r="V90"/>
  <c r="U90"/>
  <c r="V89"/>
  <c r="U89"/>
  <c r="V88"/>
  <c r="U88"/>
  <c r="V87"/>
  <c r="U87"/>
  <c r="V86"/>
  <c r="U86"/>
  <c r="V85"/>
  <c r="U85"/>
  <c r="V84"/>
  <c r="U84"/>
  <c r="V83"/>
  <c r="U83"/>
  <c r="V82"/>
  <c r="U82"/>
  <c r="U81"/>
  <c r="V80"/>
  <c r="U80"/>
  <c r="V79"/>
  <c r="U79"/>
  <c r="V78"/>
  <c r="U78"/>
  <c r="V77"/>
  <c r="U77"/>
  <c r="V76"/>
  <c r="U76"/>
  <c r="V75"/>
  <c r="U75"/>
  <c r="V74"/>
  <c r="U74"/>
  <c r="V73"/>
  <c r="U73"/>
  <c r="V72"/>
  <c r="U72"/>
  <c r="V71"/>
  <c r="U71"/>
  <c r="V70"/>
  <c r="U70"/>
  <c r="V69"/>
  <c r="U69"/>
  <c r="V68"/>
  <c r="U68"/>
  <c r="V67"/>
  <c r="U67"/>
  <c r="V66"/>
  <c r="U66"/>
  <c r="V65"/>
  <c r="U65"/>
  <c r="V64"/>
  <c r="U64"/>
  <c r="V63"/>
  <c r="U63"/>
  <c r="U62"/>
  <c r="V61"/>
  <c r="U61"/>
  <c r="V60"/>
  <c r="U60"/>
  <c r="V59"/>
  <c r="U59"/>
  <c r="V58"/>
  <c r="U58"/>
  <c r="V57"/>
  <c r="U57"/>
  <c r="V56"/>
  <c r="U56"/>
  <c r="V55"/>
  <c r="U55"/>
  <c r="V54"/>
  <c r="U54"/>
  <c r="V52"/>
  <c r="U52"/>
  <c r="V51"/>
  <c r="U51"/>
  <c r="V50"/>
  <c r="U50"/>
  <c r="V49"/>
  <c r="U49"/>
  <c r="V48"/>
  <c r="U48"/>
  <c r="V47"/>
  <c r="U47"/>
  <c r="V46"/>
  <c r="U46"/>
  <c r="V45"/>
  <c r="U45"/>
  <c r="V44"/>
  <c r="U44"/>
  <c r="V43"/>
  <c r="U43"/>
  <c r="V42"/>
  <c r="U42"/>
  <c r="V41"/>
  <c r="U41"/>
  <c r="V40"/>
  <c r="U40"/>
  <c r="V39"/>
  <c r="U39"/>
  <c r="V38"/>
  <c r="U38"/>
  <c r="V37"/>
  <c r="U37"/>
  <c r="V36"/>
  <c r="U36"/>
  <c r="U35"/>
  <c r="V34"/>
  <c r="U34"/>
  <c r="V33"/>
  <c r="U33"/>
  <c r="V32"/>
  <c r="U32"/>
  <c r="V31"/>
  <c r="U31"/>
  <c r="V30"/>
  <c r="U30"/>
  <c r="V29"/>
  <c r="U29"/>
  <c r="V28"/>
  <c r="U28"/>
  <c r="V27"/>
  <c r="U27"/>
  <c r="U26"/>
  <c r="V25"/>
  <c r="U25"/>
  <c r="V24"/>
  <c r="U24"/>
  <c r="V23"/>
  <c r="U23"/>
  <c r="V22"/>
  <c r="U22"/>
  <c r="V21"/>
  <c r="U21"/>
  <c r="V20"/>
  <c r="U20"/>
  <c r="V19"/>
  <c r="U19"/>
  <c r="V18"/>
  <c r="U18"/>
  <c r="V17"/>
  <c r="U17"/>
  <c r="V16"/>
  <c r="U16"/>
  <c r="V15"/>
  <c r="U15"/>
  <c r="V14"/>
  <c r="U14"/>
  <c r="V13"/>
  <c r="U13"/>
  <c r="V12"/>
  <c r="U12"/>
  <c r="V11"/>
  <c r="U11"/>
  <c r="V10"/>
  <c r="U10"/>
  <c r="V9"/>
  <c r="U9"/>
  <c r="V8"/>
  <c r="U8"/>
  <c r="A5"/>
  <c r="A4"/>
</calcChain>
</file>

<file path=xl/sharedStrings.xml><?xml version="1.0" encoding="utf-8"?>
<sst xmlns="http://schemas.openxmlformats.org/spreadsheetml/2006/main" count="12533" uniqueCount="5974">
  <si>
    <t>ИНФРА-М Научно-издательский Центр</t>
  </si>
  <si>
    <t>03. Естественные науки. Математика (для учебных заведений и библиотек)
от 31.10.2023</t>
  </si>
  <si>
    <t>Данный прайс-лист не является публичной офертой</t>
  </si>
  <si>
    <t>127214, Москва г, Полярная ул, дом № 31 В, строение 1 эт.3 пом.I.к.9Б</t>
  </si>
  <si>
    <t>Издательство оставляет за собой право на изменение ассортимента и цен на издания.
Информацию о наличии товара и актуальные цены уточняйте у вашего курирующего менеджера 
или напишите нам на электронную почту books@infra-m.ru</t>
  </si>
  <si>
    <t>тел/факс: +7 (495) 280-15-96</t>
  </si>
  <si>
    <t>Заказ</t>
  </si>
  <si>
    <t>Код</t>
  </si>
  <si>
    <t>Цена опт.</t>
  </si>
  <si>
    <t>Наименование товара</t>
  </si>
  <si>
    <t>Основное заглавие</t>
  </si>
  <si>
    <t>Авторы</t>
  </si>
  <si>
    <t>Оформление</t>
  </si>
  <si>
    <t>Издательство</t>
  </si>
  <si>
    <t>Серия</t>
  </si>
  <si>
    <t>Ст-т</t>
  </si>
  <si>
    <t>Стр.</t>
  </si>
  <si>
    <t>Год</t>
  </si>
  <si>
    <t>ISBN</t>
  </si>
  <si>
    <t>Раздел</t>
  </si>
  <si>
    <t>Подраздел</t>
  </si>
  <si>
    <t>Вид издания</t>
  </si>
  <si>
    <t>Уровень образования</t>
  </si>
  <si>
    <t>ОКСО</t>
  </si>
  <si>
    <t>Гриф МО</t>
  </si>
  <si>
    <t>Доп. мат. на znanium.com</t>
  </si>
  <si>
    <t>Обложка</t>
  </si>
  <si>
    <t>ЭБС Znanium.com</t>
  </si>
  <si>
    <t>Аффилиация автора</t>
  </si>
  <si>
    <t>Новинка месяца</t>
  </si>
  <si>
    <t>ПООП</t>
  </si>
  <si>
    <t>К</t>
  </si>
  <si>
    <t>Ш</t>
  </si>
  <si>
    <t>401600.08.01</t>
  </si>
  <si>
    <t>NBIC-технологии: Инновац. цивилизация ХХI в: Моногр. / Под ред. Казанцев А.К.-М.:НИЦ ИНФРА-М,2024.-384 с.(П)</t>
  </si>
  <si>
    <t>NBIC-ТЕХНОЛОГИИ: ИННОВАЦИОННАЯ ЦИВИЛИЗАЦИЯ ХХI ВЕКА</t>
  </si>
  <si>
    <t>Казанцев А.К., Киселев В.Н., Рубвальтер Д.А. и др.</t>
  </si>
  <si>
    <t>Переплет 7БЦ/Без шитья</t>
  </si>
  <si>
    <t>НИЦ ИНФРА-М</t>
  </si>
  <si>
    <t>Научная мысль</t>
  </si>
  <si>
    <t>978-5-16-005468-1</t>
  </si>
  <si>
    <t>ЕСТЕСТВЕННЫЕ НАУКИ. МАТЕМАТИКА</t>
  </si>
  <si>
    <t>Естественные науки в целом</t>
  </si>
  <si>
    <t>Монография</t>
  </si>
  <si>
    <t>Дополнительное образование / Дополнительное профессиональное образование</t>
  </si>
  <si>
    <t>27.04.07, 38.04.01, 38.04.02, 38.04.04, 38.03.01, 38.03.02, 38.03.04, 41.03.06</t>
  </si>
  <si>
    <t>Санкт-Петербургский государственный университет</t>
  </si>
  <si>
    <t>0112</t>
  </si>
  <si>
    <t>431500.02.01</t>
  </si>
  <si>
    <t>Trends in Applied Mechanics and Mechatronics: Сб. научно-метод. статей: Т.1 / Под ред. Кирсанова М.Н.-М.:НИЦ ИНФРА-М,2021.-120 с.(О)</t>
  </si>
  <si>
    <t>TRENDS IN APPLIED MECHANICS AND MECHATRONICS, Т.1</t>
  </si>
  <si>
    <t>Александров В.А., Антонов Е.А., Ахмедова Е.Р. и др.</t>
  </si>
  <si>
    <t>Обложка. КБС</t>
  </si>
  <si>
    <t>978-5-16-011287-9</t>
  </si>
  <si>
    <t>Физико-математические науки</t>
  </si>
  <si>
    <t>02.03.03, 03.03.03, 01.03.03, 15.03.03, 01.04.03, 15.04.03, 01.05.01</t>
  </si>
  <si>
    <t>Чувашский государственный университет им. И.Н. Ульянова</t>
  </si>
  <si>
    <t>0115</t>
  </si>
  <si>
    <t>347800.11.01</t>
  </si>
  <si>
    <t>Авиационная экология. Воздействие авиационных..: Уч.пос. / Л.С.Яновский - М.:НИЦ ИНФРА-М,2024-180с.(ВО)(П)</t>
  </si>
  <si>
    <t>АВИАЦИОННАЯ ЭКОЛОГИЯ. ВОЗДЕЙСТВИЕ АВИАЦИОННЫХ ГОРЮЧЕ-СМАЗОЧНЫХ МАТЕРИАЛОВ НА ОКРУЖАЮЩУЮ СРЕДУ</t>
  </si>
  <si>
    <t>Яновский Л.С., Харин А.А., Шевченко И.В. и др.</t>
  </si>
  <si>
    <t>Высшее образование: Бакалавриат</t>
  </si>
  <si>
    <t>978-5-16-010830-8</t>
  </si>
  <si>
    <t>Науки о Земле. Экология</t>
  </si>
  <si>
    <t>Учебное пособие</t>
  </si>
  <si>
    <t>Профессиональное образование / ВО - Бакалавриат</t>
  </si>
  <si>
    <t>25.02.04, 25.02.05, 25.02.01, 25.02.03, 25.02.02, 25.05.05, 25.05.04, 25.05.01, 25.03.01, 25.03.04, 25.03.02, 25.02.06, 25.02.07, 25.02.08</t>
  </si>
  <si>
    <t>Рекомендовано в качестве учебного пособия для студентов высших учебных заведений, обучающихся по направлению подготовки 25.03.01 «Техническая эксплуатация летательных аппаратов и двигателей» (квалификация (степень) «бакалавр»)</t>
  </si>
  <si>
    <t>Центральный институт авиационного моторостроения им. П.И. Баранова</t>
  </si>
  <si>
    <t>0116</t>
  </si>
  <si>
    <t>758453.02.01</t>
  </si>
  <si>
    <t>Авиационно-ракетные кластеры и окруж. среда: Моногр. / Ж.Ю.Кочетова, -М.:НИЦ ИНФРА-М,2023.-266 с.(Науч.мысль)(О)</t>
  </si>
  <si>
    <t>АВИАЦИОННО-РАКЕТНЫЕ КЛАСТЕРЫ И ОКРУЖАЮЩАЯ СРЕДА</t>
  </si>
  <si>
    <t>Кочетова Ж.Ю., Маслова Н.В., Базарский О.В. и др.</t>
  </si>
  <si>
    <t>978-5-16-017033-6</t>
  </si>
  <si>
    <t>05.03.06</t>
  </si>
  <si>
    <t>Военно-воздушная академия им. профессора Н.Е. Жуковского и Ю.А. Гагарина</t>
  </si>
  <si>
    <t>0122</t>
  </si>
  <si>
    <t>653929.03.01</t>
  </si>
  <si>
    <t>Адаптивно-ландшафтные системы земледелия: Уч. / А.И.Беленков-М.:НИЦ ИНФРА-М,2020.-213 с..-(ВО)(П)</t>
  </si>
  <si>
    <t>АДАПТИВНО-ЛАНДШАФТНЫЕ СИСТЕМЫ ЗЕМЛЕДЕЛИЯ</t>
  </si>
  <si>
    <t>Беленков А.И., Мазиров М.А., Зеленев А.В.</t>
  </si>
  <si>
    <t>Высшее образование: Магистратура</t>
  </si>
  <si>
    <t>978-5-16-013068-2</t>
  </si>
  <si>
    <t>Учебник</t>
  </si>
  <si>
    <t>Профессиональное образование / ВО - Магистратура</t>
  </si>
  <si>
    <t>35.04.04</t>
  </si>
  <si>
    <t>Рекомендовано в качестве учебника для студентов высших учебных заведений, обучающихся по направлению подготовки 35.04.04 «Агрономия» (квалификация (степень) «магистр»)</t>
  </si>
  <si>
    <t>ДА</t>
  </si>
  <si>
    <t>Российский государственный аграрный университет - МСХА им. К.А. Тимирязева</t>
  </si>
  <si>
    <t>0118</t>
  </si>
  <si>
    <t>265800.07.01</t>
  </si>
  <si>
    <t>Адсорбенты и носители катализаторов..: моногр. / В.С.Комаров - М.:НИЦ ИНФРА-М ,2024 - 203 с.-(о)</t>
  </si>
  <si>
    <t>АДСОРБЕНТЫ И НОСИТЕЛИ КАТАЛИЗАТОРОВ. НАУЧНЫЕ ОСНОВЫ РЕГУЛИРОВАНИЯ ПОРИСТОЙ СТРУКТУРЫ</t>
  </si>
  <si>
    <t>Комаров В.С., Бесараб С.В.</t>
  </si>
  <si>
    <t>978-5-16-009581-3</t>
  </si>
  <si>
    <t>Химические науки</t>
  </si>
  <si>
    <t>04.03.02, 04.03.01, 18.03.01, 18.03.02</t>
  </si>
  <si>
    <t>Национальная академия наук Беларуси</t>
  </si>
  <si>
    <t>0114</t>
  </si>
  <si>
    <t>700725.02.01</t>
  </si>
  <si>
    <t>Актуальные вопросы аэротехногенной безоп.: Моногр / Н.Н.Крупина-М.:НИЦ ИНФРА-М,2023.-188 с.(О)</t>
  </si>
  <si>
    <t>АКТУАЛЬНЫЕ ВОПРОСЫ АЭРОТЕХНОГЕННОЙ БЕЗОПАСНОСТИ ПРОМЗОН: ФАКТОР ОЗЕЛЕНЕНИЯ</t>
  </si>
  <si>
    <t>Крупина Н.Н., Киприянова Е.Н.</t>
  </si>
  <si>
    <t>978-5-16-014826-7</t>
  </si>
  <si>
    <t>05.04.06, 20.04.01, 20.04.02, 05.06.01, 20.06.01</t>
  </si>
  <si>
    <t>Санкт-Петербургский государственный аграрный университет</t>
  </si>
  <si>
    <t>0120</t>
  </si>
  <si>
    <t>639818.06.01</t>
  </si>
  <si>
    <t>Алгебра и геометрия: Сб. зад. и реш. с прим. сис. Maple: Уч.пос. / М.Н.Кирсанов-М.:НИЦ ИНФРА-М,2023.-272 с.(П)</t>
  </si>
  <si>
    <t>АЛГЕБРА И ГЕОМЕТРИЯ. СБОРНИК ЗАДАЧ И РЕШЕНИЙ С ПРИМЕНЕНИЕМ СИСТЕМЫ MAPLE</t>
  </si>
  <si>
    <t>Кирсанов М.Н., Кузнецова О.С.</t>
  </si>
  <si>
    <t>978-5-16-012325-7</t>
  </si>
  <si>
    <t>02.03.02, 03.03.02, 07.03.01, 08.03.01, 09.03.01, 09.03.04, 09.03.02, 11.03.01, 11.03.02, 10.03.01, 11.03.03, 11.03.04, 12.03.03, 12.03.04, 12.03.01, 12.03.02, 12.03.05, 13.03.02, 13.03.03, 16.03.03, 16.03.01, 16.03.02, 13.03.01, 15.03.02, 15.03.01, 15.03.03, 15.03.04, 15.03.05, 38.04.01, 38.04.08, 38.04.05, 01.03.02, 38.03.01, 38.03.05, 09.03.03</t>
  </si>
  <si>
    <t>Рекомендовано в качестве учебного пособия для студентов высших учебных заведений, обучающихся по УГС технического профиля и УГС 38.00.00 «Экономика и управление» (квалификация (степень) «бакалавр»)</t>
  </si>
  <si>
    <t>Московский энергетический институт</t>
  </si>
  <si>
    <t>664359.03.01</t>
  </si>
  <si>
    <t>Алгебра и геометрия: Уч.пос. / Г.И.Шуман и др. - М.:ИЦ РИОР,НИЦ ИНФРА-М,2024 - 160 с.(П)</t>
  </si>
  <si>
    <t>АЛГЕБРА И ГЕОМЕТРИЯ</t>
  </si>
  <si>
    <t>Шуман Г.И., Волгина О.А., Голодная Н.Ю.</t>
  </si>
  <si>
    <t>Переплет 7БЦ</t>
  </si>
  <si>
    <t>ИЦ РИОР</t>
  </si>
  <si>
    <t>978-5-369-01708-1</t>
  </si>
  <si>
    <t>02.03.02, 04.03.02, 03.03.02, 09.03.04, 01.03.02</t>
  </si>
  <si>
    <t>Владивостокский Государственный Университет</t>
  </si>
  <si>
    <t>703680.04.01</t>
  </si>
  <si>
    <t>Анализ и прогноз загрязнений окруж. среды: Уч. / В.В.Стрельников-М.:НИЦ ИНФРА-М,2024.-339 с.(ВО)(П)</t>
  </si>
  <si>
    <t>АНАЛИЗ И ПРОГНОЗ ЗАГРЯЗНЕНИЙ ОКРУЖАЮЩЕЙ СРЕДЫ</t>
  </si>
  <si>
    <t>Стрельников В.В., Чернышева Н.В.</t>
  </si>
  <si>
    <t>Высшее образование</t>
  </si>
  <si>
    <t>978-5-16-019347-2</t>
  </si>
  <si>
    <t>Профессиональное образование</t>
  </si>
  <si>
    <t>Допущено Министерством сельского хозяйства Российской Федерации в качестве учебника для студентов высших учебных заведений, обучающихся по направлению подготовки «Экология и природопользование»</t>
  </si>
  <si>
    <t>Кубанский государственный аграрный университет им. И.Т. Трубилина</t>
  </si>
  <si>
    <t>0121</t>
  </si>
  <si>
    <t>391500.05.01</t>
  </si>
  <si>
    <t>Аналитическая геометрия в...: Уч.пос. / А.С.Бортаковский,- 2 изд.-М.:НИЦ ИНФРА-М,2023.-496 с.(ВО)</t>
  </si>
  <si>
    <t>АНАЛИТИЧЕСКАЯ ГЕОМЕТРИЯ В ПРИМЕРАХ И ЗАДАЧАХ, ИЗД.2</t>
  </si>
  <si>
    <t>Бортаковский А.С., Пантелеев А.В.</t>
  </si>
  <si>
    <t>978-5-16-011202-2</t>
  </si>
  <si>
    <t>02.03.02, 04.03.02, 03.03.02, 01.03.04, 01.04.04, 01.04.02, 01.03.02</t>
  </si>
  <si>
    <t>Рекомендовано Учебно-методическим объединением высших учебных заведений Российской Федерации по образованию в области авиации, ракетостроения и космоса в качестве учебного пособия для студентов высших технических учебных заведений</t>
  </si>
  <si>
    <t>Московский авиационный институт (национальный исследовательский университет)</t>
  </si>
  <si>
    <t>0216</t>
  </si>
  <si>
    <t>146015.10.01</t>
  </si>
  <si>
    <t>Аналитическая химия. Хим. методы..: Уч.пос. / А.И.Жебентяев - 2 изд.-М.:НИЦ ИНФРА-М, Нов.знание,2023-542 с.(ВО)(П)</t>
  </si>
  <si>
    <t>АНАЛИТИЧЕСКАЯ ХИМИЯ. ХИМИЧЕСКИЕ МЕТОДЫ АНАЛИЗА, ИЗД.2</t>
  </si>
  <si>
    <t>Жебентяев А. И., Жерносек А. К., Талуть И. Е.</t>
  </si>
  <si>
    <t>978-5-16-004685-3</t>
  </si>
  <si>
    <t>18.02.09, 18.02.01, 31.02.01, 04.03.02, 04.03.01, 18.03.01, 18.03.02, 19.03.02, 19.03.03, 19.03.04, 19.03.01, 18.04.01, 04.05.01, 31.05.01, 31.05.02, 31.05.03, 33.05.01, 30.05.01, 18.05.02, 18.05.01, 19.01.18, 18.02.12, 18.02.13, 18.01.33</t>
  </si>
  <si>
    <t>Допущено Министерством образования Республики Беларусь в качестве учебного пособия для студентов высших учебных заведений по фармацевтическим и химическим специальностям</t>
  </si>
  <si>
    <t>Витебский государственный медицинский университет</t>
  </si>
  <si>
    <t>0211</t>
  </si>
  <si>
    <t>426750.04.01</t>
  </si>
  <si>
    <t>Аналитическая химия. Хроматограф. методы: Уч.пос. /А.И.Жебентяев -М:НИЦ ИНФРА-М; Нов.знание,2020-206с(ВО) (п)</t>
  </si>
  <si>
    <t>АНАЛИТИЧЕСКАЯ ХИМИЯ. ХРОМАТОГРАФИЧЕСКИЕ МЕТОДЫ АНАЛИЗА</t>
  </si>
  <si>
    <t>Жебентяев А. И.</t>
  </si>
  <si>
    <t>978-5-16-006615-8</t>
  </si>
  <si>
    <t>18.02.01, 20.02.01, 33.02.01, 04.03.01, 31.05.01, 31.05.02, 31.05.03, 44.03.05, 19.01.18, 18.02.12, 18.01.33</t>
  </si>
  <si>
    <t>Допущено Министерством образования Республики Беларусь в качестве учебного пособия для студентов учреждений высшего образования по специальности "Фармация" и химическим специальностям</t>
  </si>
  <si>
    <t>0113</t>
  </si>
  <si>
    <t>247200.09.01</t>
  </si>
  <si>
    <t>Аналитическая химия: Уч. / Н.И.Мовчан и др. - М.:НИЦ ИНФРА-М,2024 - 394 с.-(ВО)(п)</t>
  </si>
  <si>
    <t>АНАЛИТИЧЕСКАЯ ХИМИЯ</t>
  </si>
  <si>
    <t>Мовчан Н.И., Романова Р.Г., Горбунова Т.С. и др.</t>
  </si>
  <si>
    <t>978-5-16-019473-8</t>
  </si>
  <si>
    <t>18.02.01, 31.02.01, 18.03.01, 22.03.01, 22.04.01, 18.04.01, 31.05.01, 31.05.02, 31.05.03, 33.05.01, 44.03.05</t>
  </si>
  <si>
    <t>Рекомендовано ФГБОУ ВО «Российский химико-технологический университет им. Д.И. Менделеева» в качестве учебника для студентов высших учебных заведений, обучающихся по направлениям подготовки 22.03.01 «Материаловедение и технологии материалов» и 18.03.01 «Химическая технология»</t>
  </si>
  <si>
    <t>Казанский национальный исследовательский технологический университет</t>
  </si>
  <si>
    <t>665642.02.01</t>
  </si>
  <si>
    <t>Аналитические модели в скважинной термометрии: Уч.пос. / А.Ш.Рамазанов-М.:НИЦ ИНФРА-М,2022.-172 с.(ВО)(П)</t>
  </si>
  <si>
    <t>АНАЛИТИЧЕСКИЕ МОДЕЛИ В СКВАЖИННОЙ ТЕРМОМЕТРИИ</t>
  </si>
  <si>
    <t>Рамазанов А.Ш.</t>
  </si>
  <si>
    <t>978-5-16-017043-5</t>
  </si>
  <si>
    <t>21.04.01, 21.05.03</t>
  </si>
  <si>
    <t>209400.11.01</t>
  </si>
  <si>
    <t>Анатомия животных: Уч. / В.И.Боев и др. - М.:НИЦ ИНФРА-М,2023 - 352 с.(ВО: Бакалавриат) (П)</t>
  </si>
  <si>
    <t>АНАТОМИЯ ЖИВОТНЫХ</t>
  </si>
  <si>
    <t>Боев В.И., Журавлева И.А., Брагин Г.И.</t>
  </si>
  <si>
    <t>978-5-16-006826-8</t>
  </si>
  <si>
    <t>Биологические науки</t>
  </si>
  <si>
    <t>36.04.02, 36.03.02</t>
  </si>
  <si>
    <t>Допущено УМО вузов РФ по агрономическому образованию в качестве учебника для подготовки бакалавров, обучающихся по направлению 35.03.07 «Технология производства и переработки сельскохозяйственной продукции»</t>
  </si>
  <si>
    <t>Российский биотехнологический университет (РОСБИОТЕХ)</t>
  </si>
  <si>
    <t>682819.04.01</t>
  </si>
  <si>
    <t>Анатомия животных: Уч. / В.И.Боев и др. - М.:НИЦ ИНФРА-М,2023 - 352 с.-(СПО)(П)</t>
  </si>
  <si>
    <t>Среднее профессиональное образование</t>
  </si>
  <si>
    <t>978-5-16-013881-7</t>
  </si>
  <si>
    <t>Профессиональное образование / Среднее профессиональное образование</t>
  </si>
  <si>
    <t>36.02.02, 35.02.14, 35.02.15, 36.02.01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</si>
  <si>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36.02.01 «Ветеринария», 36.02.02 «Зоотехния» (протокол № 3 от 11.02.2019)</t>
  </si>
  <si>
    <t>32</t>
  </si>
  <si>
    <t>0119</t>
  </si>
  <si>
    <t>106150.03.01</t>
  </si>
  <si>
    <t>Арифметика, алгебра, геометрия: Шпаргалка - М.:ИЦ РИОР, ИД РИОР,2015-71с.-(Шпаргалка [отрывная])(О)</t>
  </si>
  <si>
    <t>АРИФМЕТИКА, АЛГЕБРА, ГЕОМЕТРИЯ</t>
  </si>
  <si>
    <t>Шпаргалка [отрывная]</t>
  </si>
  <si>
    <t>978-5-369-00389-3</t>
  </si>
  <si>
    <t>Шпаргалка</t>
  </si>
  <si>
    <t>Общее образование</t>
  </si>
  <si>
    <t>00.02.06</t>
  </si>
  <si>
    <t>0109</t>
  </si>
  <si>
    <t>243500.05.01</t>
  </si>
  <si>
    <t>Арифметика, алгебра, начала анализа: Уч.пос./ Е.С. Кочетков - М.: Форум: ИНФРА-М, 2023 - 496с. (п)</t>
  </si>
  <si>
    <t>АРИФМЕТИКА, АЛГЕБРА, НАЧАЛА АНАЛИЗА</t>
  </si>
  <si>
    <t>Кочетков Е.С.</t>
  </si>
  <si>
    <t>Форум</t>
  </si>
  <si>
    <t>978-5-91134-824-3</t>
  </si>
  <si>
    <t>38.02.04, 00.02.06</t>
  </si>
  <si>
    <t>460850.05.01</t>
  </si>
  <si>
    <t>Аспекты экол. отв.  хозяйст. субъектов РФ: Моног. /А.П.Гарнов -М:НИЦ ИНФРА-М, 2020-190с-(Научн. мысль)(о)</t>
  </si>
  <si>
    <t>АСПЕКТЫ ЭКОЛОГИЧЕСКОЙ ОТВЕТСТВЕННОСТИ ХОЗЯЙСТВУЮЩИХ СУБЪЕКТОВ РОССИЙСКОЙ ФЕДЕРАЦИИ</t>
  </si>
  <si>
    <t>Гарнов А.П., Краснобаева О.В.</t>
  </si>
  <si>
    <t>978-5-16-009496-0</t>
  </si>
  <si>
    <t>40.03.01, 40.04.01, 38.04.01, 38.04.02, 38.04.04, 38.03.01, 38.03.02, 38.03.04, 41.03.06</t>
  </si>
  <si>
    <t>Российский экономический университет им. Г.В. Плеханова</t>
  </si>
  <si>
    <t>704840.03.01</t>
  </si>
  <si>
    <t>Астрономия. Практикум: Уч.пос. / А.А.Гамза, - 2 изд.-М.:НИЦ ИНФРА-М,2023.-127 с.(СПО)(О)</t>
  </si>
  <si>
    <t>АСТРОНОМИЯ. ПРАКТИКУМ, ИЗД.2</t>
  </si>
  <si>
    <t>Гамза А.А.</t>
  </si>
  <si>
    <t>978-5-16-015348-3</t>
  </si>
  <si>
    <t>00.02.10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</si>
  <si>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реализующих образовательные программы профессионально-технического и среднего специального образования</t>
  </si>
  <si>
    <t>Республиканский институт профессионального образования</t>
  </si>
  <si>
    <t>0220</t>
  </si>
  <si>
    <t>734007.03.01</t>
  </si>
  <si>
    <t>Астрономия: Уч.пос. / А.В.Благин-М.:НИЦ ИНФРА-М,2022.-272 с..-(СПО)(П)</t>
  </si>
  <si>
    <t>АСТРОНОМИЯ</t>
  </si>
  <si>
    <t>Благин А.В., Котова О.В.</t>
  </si>
  <si>
    <t>978-5-16-016147-1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</si>
  <si>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5 от 16.03.2020)</t>
  </si>
  <si>
    <t>Донской государственный технический университет</t>
  </si>
  <si>
    <t>734219.03.01</t>
  </si>
  <si>
    <t>Астрономия: Уч.пос. / С.В.Павлов - М.:НИЦ ИНФРА-М,2023 - 359 с.-(СПО)(П)</t>
  </si>
  <si>
    <t>Павлов С.В.</t>
  </si>
  <si>
    <t>978-5-16-016443-4</t>
  </si>
  <si>
    <t>Рекомендовано Межрегиональным учебно-методическим советом профессионального образования в качестве учебного пособия для учащихся учебных заведений среднего профессионального образования, обучающихся по основной образовательной программе среднего профессионального образования</t>
  </si>
  <si>
    <t>Московский государственный университет им. М.В. Ломоносова, физический факультет</t>
  </si>
  <si>
    <t>344800.08.01</t>
  </si>
  <si>
    <t>Атомная и ядер.физ. Элем.квант.мех. Практ.: Уч.пос. / А.Г.Браун - М.:НИЦ ИНФРА-М,2024 - 88 с.(ВО)(о)</t>
  </si>
  <si>
    <t>АТОМНАЯ И ЯДЕРНАЯ ФИЗИКА. ЭЛЕМЕНТЫ КВАНТОВОЙ МЕХАНИКИ. ПРАКТИКУМ</t>
  </si>
  <si>
    <t>Браун А.Г., Левитина И.Г.</t>
  </si>
  <si>
    <t>Высшее образование (МАТИ-МАИ)</t>
  </si>
  <si>
    <t>978-5-16-019148-5</t>
  </si>
  <si>
    <t>03.03.02, 03.04.02</t>
  </si>
  <si>
    <t>Допущено Учебно-методическим Советом МАТИ в качестве учебного пособия для студентов высших учебных заведений, обучающихся по техническим направлениям подготовки и специальностям</t>
  </si>
  <si>
    <t>316100.05.01</t>
  </si>
  <si>
    <t>Аэродинамика и тепломассообмен газодисперсных..: Уч. пос. /М.И.Шиляев -Форум, ИНФРА-М, 2023 -288с.(П)</t>
  </si>
  <si>
    <t>АЭРОДИНАМИКА И ТЕПЛОМАССООБМЕН ГАЗОДИСПЕРСНЫХ ПОТОКОВ, ИЗД.2</t>
  </si>
  <si>
    <t>Шиляев М.И.</t>
  </si>
  <si>
    <t>978-5-91134-976-9</t>
  </si>
  <si>
    <t>08.03.01, 13.03.01, 13.04.01, 08.04.01</t>
  </si>
  <si>
    <t>Томский государственный архитектурно-строительный университет</t>
  </si>
  <si>
    <t>0215</t>
  </si>
  <si>
    <t>433931.0037.01</t>
  </si>
  <si>
    <t>Безопасность в техносфере, 2020, № 3 (84)</t>
  </si>
  <si>
    <t>БЕЗОПАСНОСТЬ В ТЕХНОСФЕРЕ, 2020, № 3 (84)</t>
  </si>
  <si>
    <t>Журнал</t>
  </si>
  <si>
    <t>00.03.01, 20.03.01, 20.03.02, 20.04.01, 20.04.02, 20.05.01</t>
  </si>
  <si>
    <t>135800.10.01</t>
  </si>
  <si>
    <t>Безопасность в техносфере: Уч. / В.Ю. Микрюков. - М.: Вуз. уч., М.:ИНФРА-М, 2023. - 251с. (п)</t>
  </si>
  <si>
    <t>БЕЗОПАСНОСТЬ В ТЕХНОСФЕРЕ</t>
  </si>
  <si>
    <t>Микрюков В. Ю.</t>
  </si>
  <si>
    <t>Вузовский учебник</t>
  </si>
  <si>
    <t>978-5-9558-0169-8</t>
  </si>
  <si>
    <t>00.05.01, 00.03.01</t>
  </si>
  <si>
    <t>Рекомендовано Академией военных наук РФ в качестве учебника для студентов высшего профессионального образования</t>
  </si>
  <si>
    <t>Российская академия естественных наук</t>
  </si>
  <si>
    <t>0111</t>
  </si>
  <si>
    <t>086630.13.01</t>
  </si>
  <si>
    <t>Безопасность в туризме: Уч. пос. / А.П. Бгатов. - 2 изд. - М.: Форум:  НИЦ ИНФРА-М, 2024-176с.(ВО) (о)</t>
  </si>
  <si>
    <t>БЕЗОПАСНОСТЬ В ТУРИЗМЕ, ИЗД.2</t>
  </si>
  <si>
    <t>Бгатов А. П.</t>
  </si>
  <si>
    <t>978-5-91134-756-7</t>
  </si>
  <si>
    <t>43.02.10</t>
  </si>
  <si>
    <t>Рекомендовано УМО учебных заведений РФ по образованию в области сервиса и туризма Министерства обр. и науки России в качестве учебного пособия для студентов высших учебных заведений, обучающихся по напр. подготовки "Туризм"</t>
  </si>
  <si>
    <t>Российская международная академия туризма, Московский ф-л</t>
  </si>
  <si>
    <t>0213</t>
  </si>
  <si>
    <t>486300.09.01</t>
  </si>
  <si>
    <t>Безопасность жизнедеят. и упр. рисками: Уч.пос. / Е.Н.Каменская-М.:ИЦ РИОР, НИЦ ИНФРА-М,2024-251(ВО)</t>
  </si>
  <si>
    <t>БЕЗОПАСНОСТЬ ЖИЗНЕДЕЯТЕЛЬНОСТИ И УПРАВЛЕНИЕ РИСКАМИ</t>
  </si>
  <si>
    <t>Каменская Е.Н.</t>
  </si>
  <si>
    <t>978-5-369-01541-4</t>
  </si>
  <si>
    <t>00.03.01</t>
  </si>
  <si>
    <t>Допущено Учебно-методическим объединением вузов Российской Федерации по университетскому политехническому образованию в качестве учебного пособия для студентов высших учебных заведений, обучающихся по гуманитарным направлениям и специальностям</t>
  </si>
  <si>
    <t>Южный федеральный университет</t>
  </si>
  <si>
    <t>455950.09.01</t>
  </si>
  <si>
    <t>Безопасность жизнедеятельности. Защита..: Уч. пос. / М.Г.Оноприенко - Форум:ИНФРА-М, 2024-400с.(ВО) (п)</t>
  </si>
  <si>
    <t>БЕЗОПАСНОСТЬ ЖИЗНЕДЕЯТЕЛЬНОСТИ. ЗАЩИТА ТЕРРИТОРИЙ И ОБЪЕКТОВ ЭКОНОМИКИ В ЧРЕЗВЫЧАЙНЫХ СИТУАЦИЯХ</t>
  </si>
  <si>
    <t>Оноприенко М. Г.</t>
  </si>
  <si>
    <t>978-5-91134-831-1</t>
  </si>
  <si>
    <t>39.03.01</t>
  </si>
  <si>
    <t>Сочинский государственный университет</t>
  </si>
  <si>
    <t>690050.06.01</t>
  </si>
  <si>
    <t>Безопасность жизнедеятельности. Практ.: Уч.пос. / В.А.Бондаренко-М.:ИЦ РИОР,НИЦ ИНФРА-М,2023-150с.-(СПО)(О)</t>
  </si>
  <si>
    <t>БЕЗОПАСНОСТЬ ЖИЗНЕДЕЯТЕЛЬНОСТИ. ПРАКТИКУМ</t>
  </si>
  <si>
    <t>Бондаренко В.А., Евтушенко С.И., Лепихова В.А. и др.</t>
  </si>
  <si>
    <t>СПО</t>
  </si>
  <si>
    <t>978-5-369-01794-4</t>
  </si>
  <si>
    <t>43.02.08, 26.02.03, 26.02.05, 26.02.06, 05.02.01, 43.02.14, 43.02.12, 43.02.13, 23.02.07, 23.01.17, 18.02.12, 18.02.13, 18.01.33, 15.01.32, 15.01.33, 15.01.34, 15.01.35, 00.02.01, 00.01.01</t>
  </si>
  <si>
    <t>Южно-Российский государственный политехнический университет (НПИ) им. М.И. Платова</t>
  </si>
  <si>
    <t>682837.03.01</t>
  </si>
  <si>
    <t>Безопасность жизнедеятельности...: Уч.пос. / М.Г.Оноприенко-М.:НИЦ ИНФРА-М,2023-400 с.(СПО)(П)</t>
  </si>
  <si>
    <t>Оноприенко М.Г.</t>
  </si>
  <si>
    <t>978-5-16-016654-4</t>
  </si>
  <si>
    <t>34.02.02, 00.02.01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</si>
  <si>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программы среднего профессионального образования (протокол № 8 от 22.06.2020)</t>
  </si>
  <si>
    <t>201900.09.01</t>
  </si>
  <si>
    <t>Безопасность жизнедеятельности: Уч. / В.Н.Коханов - М.:НИЦ ИНФРА-М,2024 - 400 с.(ВО: Бакалавриат)(П)</t>
  </si>
  <si>
    <t>БЕЗОПАСНОСТЬ ЖИЗНЕДЕЯТЕЛЬНОСТИ</t>
  </si>
  <si>
    <t>Коханов В. Н., Емельянова Л. Д., Некрасов П. А.</t>
  </si>
  <si>
    <t>978-5-16-006522-9</t>
  </si>
  <si>
    <t>-</t>
  </si>
  <si>
    <t>451900.06.01</t>
  </si>
  <si>
    <t>Безопасность жизнедеятельности: Уч. / В.П.Мельников - М.:КУРС, НИЦ ИНФРА-М,2022 - 400 с.(П)</t>
  </si>
  <si>
    <t>Мельников В.П.</t>
  </si>
  <si>
    <t>КУРС</t>
  </si>
  <si>
    <t>978-5-906818-13-3</t>
  </si>
  <si>
    <t>00.05.01, 00.03.01, 15.03.01</t>
  </si>
  <si>
    <t>0117</t>
  </si>
  <si>
    <t>653223.07.01</t>
  </si>
  <si>
    <t>Безопасность жизнедеятельности: Уч. / В.П.Мельников и др. - М.:КУРС, НИЦ ИНФРА-М,2023-368 с.(П)</t>
  </si>
  <si>
    <t>Мельников В.П., Куприянов А.И., Назаров А.В.</t>
  </si>
  <si>
    <t>978-5-906923-11-0</t>
  </si>
  <si>
    <t>24.01.01, 43.02.08, 24.02.01, 26.02.03, 26.02.05, 26.02.06, 09.02.02, 09.02.03, 09.02.04, 09.02.05, 15.02.11, 43.02.14, 43.02.12, 43.02.13, 25.02.06, 25.02.07, 25.02.08, 23.02.07, 18.01.33, 15.02.14, 15.01.31, 09.02.06, 09.02.07, 00.02.01</t>
  </si>
  <si>
    <t>202900.07.01</t>
  </si>
  <si>
    <t>Безопасность жизнедеятельности: Уч. / И.С. Масленникова - 4 изд. - М.: НИЦ ИНФРА-М, 2024-304с.(ВО) (П)</t>
  </si>
  <si>
    <t>БЕЗОПАСНОСТЬ ЖИЗНЕДЕЯТЕЛЬНОСТИ, ИЗД.4</t>
  </si>
  <si>
    <t>Масленникова И. С., Еронько О. Н.</t>
  </si>
  <si>
    <t>978-5-16-006581-6</t>
  </si>
  <si>
    <t>Рекомендовано государственным образовательным учреждением высшего профессионального образования «Московский государственный университет природообустройства» к использованию в качестве учебника в образовательных учреждениях, реализующих образовательны</t>
  </si>
  <si>
    <t>Санкт-Петербургский государственный экономический университет</t>
  </si>
  <si>
    <t>0414</t>
  </si>
  <si>
    <t>403600.07.01</t>
  </si>
  <si>
    <t>Безопасность жизнедеятельности: Уч. / М.В.Графкина и др.-М.:Форум, НИЦ ИНФРА-М,2024.-416 с.(ВО)(П)</t>
  </si>
  <si>
    <t>Графкина М. В., Нюнин Б. Н., Михайлов В. А.</t>
  </si>
  <si>
    <t>978-5-91134-681-2</t>
  </si>
  <si>
    <t>00.05.01, 43.01.09, 00.03.01, 43.02.08, 15.02.11, 43.02.14, 43.02.12, 43.02.13, 18.02.12, 18.01.33, 15.02.14</t>
  </si>
  <si>
    <t>Московский политехнический университет</t>
  </si>
  <si>
    <t>414150.05.01</t>
  </si>
  <si>
    <t>Безопасность жизнедеятельности: Уч. пос. / Л.Л. Никифоров - М.: НИЦ ИНФРА-М, 2023-297с.(ВО) (П)</t>
  </si>
  <si>
    <t>Никифоров Л. Л., Персиянов В. В.</t>
  </si>
  <si>
    <t>978-5-16-006480-2</t>
  </si>
  <si>
    <t>00.05.01, 00.03.01, 36.03.01</t>
  </si>
  <si>
    <t>Допущено УМО по образованию в области технологии сырья и продуктов животного происхождения для студентов высших учебных заведений в качестве учебного пособия для подготовки по направлениям 111900.62 «Ветеринарно-санитарная экспертиза», 020400.62 «Био</t>
  </si>
  <si>
    <t>683283.04.01</t>
  </si>
  <si>
    <t>Безопасность жизнедеятельности: Уч.пос. / Л.Л.Никифоров - М.:НИЦ ИНФРА-М,2023 - 297 с.-(СПО)(П)</t>
  </si>
  <si>
    <t>Никифоров Л.Л., Персиянов В.В.</t>
  </si>
  <si>
    <t>978-5-16-014043-8</t>
  </si>
  <si>
    <t>36.01.01, 36.02.02, 36.02.01, 31.02.01, 00.02.01, 00.01.01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</si>
  <si>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36.02.01 «Ветеринария», 36.02.02 «Зоотехния»</t>
  </si>
  <si>
    <t>757868.03.01</t>
  </si>
  <si>
    <t>Безопасность жизнедеятельности: Уч.пос. / Под ред. Халилова Ш.А.-М.:ИД Форум, НИЦ ИНФРА-М,2024.-576 с..-(СПО)(П)</t>
  </si>
  <si>
    <t>Халилов Ш.А., Маликов А.Н., Гневанов В.П. и др.</t>
  </si>
  <si>
    <t>ИД Форум</t>
  </si>
  <si>
    <t>978-5-8199-0789-4</t>
  </si>
  <si>
    <t>34.02.02, 00.01.01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</si>
  <si>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11 от 09.11.2020)</t>
  </si>
  <si>
    <t>Саратовский государственный технический университет им. Гагарина Ю.А.</t>
  </si>
  <si>
    <t>160800.10.01</t>
  </si>
  <si>
    <t>Безопасность жизнедеятельности: Уч.пос. / Халилов Ш.А.-М.:ИД ФОРУМ, НИЦ ИНФРА-М,2023.-576с(ВО)(П)</t>
  </si>
  <si>
    <t>978-5-8199-0487-9</t>
  </si>
  <si>
    <t>00.05.01, 00.03.01, 43.02.08</t>
  </si>
  <si>
    <t>Допущено Научно-методическим советом по безопасности жизнедеятельности Министерства образования и науки России в качестве учебного пособия для студентов высших учебных заведений, обучающихся по гуманитарным и социально-экономическим направлениям подг</t>
  </si>
  <si>
    <t>684712.03.01</t>
  </si>
  <si>
    <t>Безопасность жизнедеятельности: Уч.пос. / Ю.Н.Сычев - М.:НИЦ ИНФРА-М,2022 - 204 с.-(ВО: Бакалавр.)(П)</t>
  </si>
  <si>
    <t>Сычев Ю.Н.</t>
  </si>
  <si>
    <t>978-5-16-014337-8</t>
  </si>
  <si>
    <t>56.05.02, 00.05.01, 00.03.01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</si>
  <si>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направлениям подготовки бакалавриата</t>
  </si>
  <si>
    <t>708643.02.01</t>
  </si>
  <si>
    <t>Безопасность жизнедеятельности: Уч.пос. / Ю.Н.Сычев - М.:НИЦ ИНФРА-М,2022 - 204 с.-(СПО)(П)</t>
  </si>
  <si>
    <t>978-5-16-015260-8</t>
  </si>
  <si>
    <t>26.02.04, 00.02.01, 00.01.01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</si>
  <si>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4 от 25.02.2019)</t>
  </si>
  <si>
    <t>684712.04.01</t>
  </si>
  <si>
    <t>Безопасность жизнедеятельности: Уч.пос. / Ю.Н.Сычев, - 2 изд.-М.:НИЦ ИНФРА-М,2023.-225 с.(ВО)(п)</t>
  </si>
  <si>
    <t>БЕЗОПАСНОСТЬ ЖИЗНЕДЕЯТЕЛЬНОСТИ, ИЗД.2</t>
  </si>
  <si>
    <t>Высшее образование (РЭУ)</t>
  </si>
  <si>
    <t>978-5-16-018205-6</t>
  </si>
  <si>
    <t>Май, 2023</t>
  </si>
  <si>
    <t>0223</t>
  </si>
  <si>
    <t>708643.03.01</t>
  </si>
  <si>
    <t>Безопасность жизнедеятельности: Уч.пос. / Ю.Н.Сычев, - 2 изд.-М.:НИЦ ИНФРА-М,2024.-225 с.(СПО)(п)</t>
  </si>
  <si>
    <t>978-5-16-018956-7</t>
  </si>
  <si>
    <t>Июль, 2023</t>
  </si>
  <si>
    <t>0224</t>
  </si>
  <si>
    <t>082490.03.01</t>
  </si>
  <si>
    <t>Безопасность жизнедеятельности: Шпаргалка - М.:ИЦ РИОР,2016.-127 с..-(Шпаргалка [отрывная])(О)</t>
  </si>
  <si>
    <t>Без автора</t>
  </si>
  <si>
    <t>978-5-369-00147-9</t>
  </si>
  <si>
    <t>0107</t>
  </si>
  <si>
    <t>700948.04.01</t>
  </si>
  <si>
    <t>Биогеография: Уч.пос. / А.Я.Григорьевская - 2 изд. - М.:НИЦ ИНФРА-М,2023 - 200 с.(ВО: Бакалавр.)(П)</t>
  </si>
  <si>
    <t>БИОГЕОГРАФИЯ, ИЗД.2</t>
  </si>
  <si>
    <t>Григорьевская А.Я.</t>
  </si>
  <si>
    <t>978-5-16-014828-1</t>
  </si>
  <si>
    <t>05.03.02, 05.03.03, 05.03.04, 05.03.06, 44.03.05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</si>
  <si>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направлениям подготовки 05.03.02 «География», 05.03.06 «Экология и природопользование», 06.03.01 «Биология» (квалификация (степень) «бакалавр»)</t>
  </si>
  <si>
    <t>Воронежский государственный университет</t>
  </si>
  <si>
    <t>0219</t>
  </si>
  <si>
    <t>681880.07.01</t>
  </si>
  <si>
    <t>Биоиндикация состояния окружающей среды: Моногр. /В.С.Груздев-М.:НИЦ ИНФРА-М,2024-160с(Науч.мысль)(О)</t>
  </si>
  <si>
    <t>БИОИНДИКАЦИЯ СОСТОЯНИЯ ОКРУЖАЮЩЕЙ СРЕДЫ</t>
  </si>
  <si>
    <t>Груздев В.С.</t>
  </si>
  <si>
    <t>978-5-16-013797-1</t>
  </si>
  <si>
    <t>06.03.01, 05.03.06, 06.04.01, 20.04.02</t>
  </si>
  <si>
    <t>Государственный университет по землеустройству</t>
  </si>
  <si>
    <t>277900.06.01</t>
  </si>
  <si>
    <t>Биологические ресурсы Камчатки и их рац. исп. /А.Н.Сметанин - М.:НИЦ ИНФРА-М,2022 - 256с.(Научная мысль)</t>
  </si>
  <si>
    <t>БИОЛОГИЧЕСКИЕ РЕСУРСЫ КАМЧАТКИ И ИХ РАЦИОНАЛЬНОЕ  ИСПОЛЬЗОВАНИЕ</t>
  </si>
  <si>
    <t>Сметанин А. Н.</t>
  </si>
  <si>
    <t>978-5-16-009802-9</t>
  </si>
  <si>
    <t>06.04.01, 05.04.06</t>
  </si>
  <si>
    <t>738655.01.01</t>
  </si>
  <si>
    <t>Биологические сис. в переработке вторичных продуктов и отходов АПК / О.Д.Сидоренко-М.:НИЦ ИНФРА-М,2021.-207 с.(П)</t>
  </si>
  <si>
    <t>БИОЛОГИЧЕСКИЕ СИСТЕМЫ В ПЕРЕРАБОТКЕ ВТОРИЧНЫХ ПРОДУКТОВ И ОТХОДОВ АПК</t>
  </si>
  <si>
    <t>Сидоренко О.Д.</t>
  </si>
  <si>
    <t>978-5-16-016346-8</t>
  </si>
  <si>
    <t>Практическое руководство</t>
  </si>
  <si>
    <t>19.03.02, 36.03.02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</si>
  <si>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технологическим направлениям подготовки (квалификация (степень) «бакалавр») (протокол № 11 от 09.11.2020)</t>
  </si>
  <si>
    <t>749468.01.01</t>
  </si>
  <si>
    <t>Биологические эффекты электромагнитных полей: Моногр. / Е.К.Еськов-М.:НИЦ ИНФРА-М,2021.-284 с.(Науч.мысль)(О)</t>
  </si>
  <si>
    <t>БИОЛОГИЧЕСКИЕ ЭФФЕКТЫ ЭЛЕКТРОМАГНИТНЫХ ПОЛЕЙ</t>
  </si>
  <si>
    <t>Еськов Е.К.</t>
  </si>
  <si>
    <t>978-5-16-016769-5</t>
  </si>
  <si>
    <t>06.03.01</t>
  </si>
  <si>
    <t>Российский государственный аграрный заочный университет</t>
  </si>
  <si>
    <t>424350.09.01</t>
  </si>
  <si>
    <t>Биология пчел: Энц. сл.-справ. / Е.К.Еськов - М.:НИЦ ИНФРА-М,2023 - VI-388 с. (П)</t>
  </si>
  <si>
    <t>БИОЛОГИЯ ПЧЕЛ</t>
  </si>
  <si>
    <t>Еськов Е. К.</t>
  </si>
  <si>
    <t>Библиотека словарей "ИНФРА-М"</t>
  </si>
  <si>
    <t>978-5-16-005127-7</t>
  </si>
  <si>
    <t>Энциклопедический словарь</t>
  </si>
  <si>
    <t>06.03.01, 06.04.01, 36.04.02, 36.03.02, 44.03.05</t>
  </si>
  <si>
    <t>Допущено Учебно-методическим объединением высших учебных заведений Российской Федерации в качестве учебно-методического пособия для студентов высших учебных заведений, обучающихся по направлению подготовки 110401 «Зоотехния» и специальности 111801 «В</t>
  </si>
  <si>
    <t>069990.09.01</t>
  </si>
  <si>
    <t>Биология с основами экологии: Уч.пос. / Л.Г.Ахмадуллина - М.:ИЦ РИОР,2023 - 128 с.(О.к/ф)</t>
  </si>
  <si>
    <t>БИОЛОГИЯ С ОСНОВАМИ ЭКОЛОГИИ</t>
  </si>
  <si>
    <t>Ахмадуллина Л. Г.</t>
  </si>
  <si>
    <t>978-5-9557-0288-9</t>
  </si>
  <si>
    <t>06.03.01, 05.03.03, 05.03.04, 05.03.06, 06.03.02</t>
  </si>
  <si>
    <t>0106</t>
  </si>
  <si>
    <t>086680.08.01</t>
  </si>
  <si>
    <t>Биология: Уч. пос. / Т.А. Андреева - М.: РИОР, 2023 - 241 с.(Школьникам и абитуриентам) (О)</t>
  </si>
  <si>
    <t>БИОЛОГИЯ</t>
  </si>
  <si>
    <t>Андреева Т. А.</t>
  </si>
  <si>
    <t>Школьникам и абитуриентам</t>
  </si>
  <si>
    <t>978-5-369-00245-2</t>
  </si>
  <si>
    <t>Общее образование / Среднее общее образование</t>
  </si>
  <si>
    <t>31.02.01</t>
  </si>
  <si>
    <t>0108</t>
  </si>
  <si>
    <t>660978.06.01</t>
  </si>
  <si>
    <t>Биомембранология: Уч.пос. / А.А.Болдырев - 2 изд., -М.:НИЦ ИНФРА-М, СФУ,2024-186с(ВО)(п)</t>
  </si>
  <si>
    <t>БИОМЕМБРАНОЛОГИЯ, ИЗД.2</t>
  </si>
  <si>
    <t>Болдырев А.А., Кяйвяряйнен Е.И., Илюха В.А.</t>
  </si>
  <si>
    <t>Высшее образование (СФУ)</t>
  </si>
  <si>
    <t>978-5-16-019441-7</t>
  </si>
  <si>
    <t>06.03.01, 06.05.01</t>
  </si>
  <si>
    <t>Рекомендовано в качестве учебного пособия для студентов высших учебных заведений, обучающихся по направлениям подготовки 04.03.01 «Химия», 06.03.01 «Биология», 19.03.01 «Биотехнология» (квалификация (степень) «бакалавр»)</t>
  </si>
  <si>
    <t>Сибирский федеральный университет</t>
  </si>
  <si>
    <t>0217</t>
  </si>
  <si>
    <t>346600.03.01</t>
  </si>
  <si>
    <t>Биоорганическая химия: Уч. -М.:НИЦ ИНФРА-М, Нов. знание,2024.-504 с.(ВО)(П)</t>
  </si>
  <si>
    <t>БИООРГАНИЧЕСКАЯ ХИМИЯ</t>
  </si>
  <si>
    <t>Романовский И.В., Болтромеюк В.В., Гидранович Л.Г. и др.</t>
  </si>
  <si>
    <t>978-5-16-010819-3</t>
  </si>
  <si>
    <t>33.02.01, 06.03.01, 06.04.01, 31.05.01, 31.05.02, 32.05.01, 31.05.03, 33.05.01, 30.05.01, 30.05.02, 44.03.05, 34.03.01</t>
  </si>
  <si>
    <t>Белорусский государственный медицинский университет</t>
  </si>
  <si>
    <t>688090.05.01</t>
  </si>
  <si>
    <t>Биотехнология. Практ. по культивир. клеточ. культур: Практ. / М.Ш.Азаев - М.:НИЦ ИНФРА-М,2023 - 142 с.(ВО)</t>
  </si>
  <si>
    <t>БИОТЕХНОЛОГИЯ : ПРАКТИКУМ ПО КУЛЬТИВИРОВАНИЮ КЛЕТОЧНЫХ КУЛЬТУР</t>
  </si>
  <si>
    <t>Азаев М.Ш., Бакулина Л.Ф., Дадаева А.А. и др.</t>
  </si>
  <si>
    <t>978-5-16-014611-9</t>
  </si>
  <si>
    <t>Практикум</t>
  </si>
  <si>
    <t>06.03.01, 19.03.01</t>
  </si>
  <si>
    <t>Государственный научный центр вирусологии и биотехнологии «Вектор» Роспотребнадзора</t>
  </si>
  <si>
    <t>730828.05.01</t>
  </si>
  <si>
    <t>Биотехнология. Практ. по культивир. клеточ. культур: Уч.пос. / М.Ш.Азаев - М.:НИЦ ИНФРА-М,2024-142с(П)</t>
  </si>
  <si>
    <t>БИОТЕХНОЛОГИЯ. ПРАКТИКУМ ПО КУЛЬТИВИРОВАНИЮ КЛЕТОЧНЫХ КУЛЬТУР</t>
  </si>
  <si>
    <t>Азаев М.Ш., Ильичева Т.Н., Бакулина Л.Ф. и др.</t>
  </si>
  <si>
    <t>978-5-16-015953-9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</si>
  <si>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19.02.01 «Биохимическое производство» (протокол № 14 от 30.09.2019)</t>
  </si>
  <si>
    <t>066480.10.01</t>
  </si>
  <si>
    <t>Биохимия: Уч.пос. / Ю.А.Митякина - М.:ИЦ РИОР,2023 - 113 с.-(Карманное учебное пос.)(О)</t>
  </si>
  <si>
    <t>БИОХИМИЯ</t>
  </si>
  <si>
    <t>Митякина Ю. А.</t>
  </si>
  <si>
    <t>Карманное учебное пособие</t>
  </si>
  <si>
    <t>978-5-9557-0268-1</t>
  </si>
  <si>
    <t>06.03.01, 32.04.01, 06.04.01, 49.04.01, 31.05.01, 31.05.02, 32.05.01, 31.05.03, 33.05.01, 30.05.01, 30.05.02, 30.05.03, 34.03.01, 49.03.01</t>
  </si>
  <si>
    <t>0105</t>
  </si>
  <si>
    <t>717636.02.01</t>
  </si>
  <si>
    <t>Биоэкокластерные компл. для реш.  экологич., производ... / Н.М.Исмаилов - М. : ИНФРА-М, 2023-260с(О)</t>
  </si>
  <si>
    <t>БИОЭКОКЛАСТЕРНЫЕ КОМПЛЕКСЫ ДЛЯ РЕШЕНИЯ  ЭКОЛОГИЧЕСКИХ, ПРОИЗВОДСТВЕННЫХ И СОЦИАЛЬНЫХ ПРОБЛЕМ (НА ПРИМЕРЕ АЗЕРБАЙДЖАНА)</t>
  </si>
  <si>
    <t>Исмаилов Н.М., Наджафова С.И., Гасымова А.С.</t>
  </si>
  <si>
    <t>978-5-16-015619-4</t>
  </si>
  <si>
    <t>05.04.06, 38.04.01</t>
  </si>
  <si>
    <t>Национальная академия наук Азербайджана</t>
  </si>
  <si>
    <t>712697.03.01</t>
  </si>
  <si>
    <t>Ботаника: Уч.пос. / Н.В.Корягина - М.:НИЦ ИНФРА-М,2023 - 351 с.-(ВО: Бакалавриат)(П)</t>
  </si>
  <si>
    <t>БОТАНИКА</t>
  </si>
  <si>
    <t>Корягина Н.В., Корягин Ю.В.</t>
  </si>
  <si>
    <t>978-5-16-015507-4</t>
  </si>
  <si>
    <t>33.02.01, 06.03.01, 35.03.01, 35.03.10, 33.05.01, 35.03.05, 44.03.01, 44.03.05, 35.03.04</t>
  </si>
  <si>
    <t>Допущено Учебно-методическим объединением вузов Российской Федерации по агрономическому образованию в качестве учебного пособия для подготовки бакалавров по направлению 35.03.07 «Технология производства и переработки сельскохозяйственной продукции»</t>
  </si>
  <si>
    <t>Пензенский государственный аграрный университет</t>
  </si>
  <si>
    <t>735063.03.01</t>
  </si>
  <si>
    <t>Ботаника: Уч.пос. / Н.В.Корягина - М.:НИЦ ИНФРА-М,2024 - 351 с.-(СПО)(П)</t>
  </si>
  <si>
    <t>978-5-16-016161-7</t>
  </si>
  <si>
    <t>35.02.05, 35.02.12, 35.02.01, 33.02.01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</si>
  <si>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35.02.00 «Сельское, лесное и рыбное хозяйство» (протокол № 5 от 16.03.2020)</t>
  </si>
  <si>
    <t>747406.01.01</t>
  </si>
  <si>
    <t>Введение в аксиоматическую теорию элемент. функций: Уч.пос. / А.Б.Шишкин-М.:НИЦ ИНФРА-М,2021.-169 с.(ВО)(П)</t>
  </si>
  <si>
    <t>ВВЕДЕНИЕ В АКСИОМАТИЧЕСКУЮ ТЕОРИЮ ЭЛЕМЕНТАРНЫХ ФУНКЦИЙ</t>
  </si>
  <si>
    <t>Шишкин А.Б.</t>
  </si>
  <si>
    <t>978-5-16-016652-0</t>
  </si>
  <si>
    <t>44.03.05, 44.03.04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</si>
  <si>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44.04.01 «Педагогическое образование» (квалификация (степень) «магистр») (протокол № 9 от 28.09.2020)</t>
  </si>
  <si>
    <t>Кубанский государственный университет</t>
  </si>
  <si>
    <t>228700.11.01</t>
  </si>
  <si>
    <t>Введение в генетику: Уч.пос. / В.А.Пухальский - 2 изд. - М.:НИЦ ИНФРА-М,2023 - 273 с.(ВО: Бакалавр.)(П)</t>
  </si>
  <si>
    <t>ВВЕДЕНИЕ В ГЕНЕТИКУ, ИЗД.2</t>
  </si>
  <si>
    <t>Пухальский В.А.</t>
  </si>
  <si>
    <t>978-5-16-015633-0</t>
  </si>
  <si>
    <t>35.03.03, 35.04.03, 44.03.05</t>
  </si>
  <si>
    <t>Рекомендовано Министерством сельского хозяйства Российской Федерации в качестве учебного пособия для студентов высших учебных заведений, обучающихся по агрономическим специальностям</t>
  </si>
  <si>
    <t>Институт общей генетики им. Н.И.Вавилова Российской Академии Наук</t>
  </si>
  <si>
    <t>0222</t>
  </si>
  <si>
    <t>228700.13.01</t>
  </si>
  <si>
    <t>Введение в генетику: Уч.пос. / В.А.Пухальский - М.:НИЦ ИНФРА-М,2024.-224 с.-(ВО: Бакалавриат)(П)</t>
  </si>
  <si>
    <t>ВВЕДЕНИЕ В ГЕНЕТИКУ</t>
  </si>
  <si>
    <t>Пухальский В. А.</t>
  </si>
  <si>
    <t>411100.15.01</t>
  </si>
  <si>
    <t>Введение в геоинформ. системы: Уч.пос. / Я.Ю.Блиновская - 2 изд.-М.:Форум, НИЦ ИНФРА-М,2023 - 112 с(О)</t>
  </si>
  <si>
    <t>ВВЕДЕНИЕ В ГЕОИНФОРМАЦИОННЫЕ СИСТЕМЫ, ИЗД.2</t>
  </si>
  <si>
    <t>Блиновская Я.Ю., Задоя Д.С.</t>
  </si>
  <si>
    <t>978-5-00091-115-0</t>
  </si>
  <si>
    <t>21.02.10, 20.03.01, 21.04.03, 21.04.02, 21.04.01, 20.04.01, 21.03.02, 21.03.01, 21.03.03</t>
  </si>
  <si>
    <t>Рекомендовано Дальневосточным региональным учебно-методическим центром в качестве учебного пособия для студентов направлений подготовки бакалавров 20.03.01 «Техносферная безопасность» и 21.03.01 «Нефтегазовое дело»</t>
  </si>
  <si>
    <t>Дальневосточный федеральный университет</t>
  </si>
  <si>
    <t>695744.02.01</t>
  </si>
  <si>
    <t>Введение в кинетическую геометрию: Моногр. / Н.А.Сальков - М.:НИЦ ИНФРА-М,2022 - 160 с.(Науч.мысль)(О)</t>
  </si>
  <si>
    <t>ВВЕДЕНИЕ В КИНЕТИЧЕСКУЮ ГЕОМЕТРИЮ</t>
  </si>
  <si>
    <t>Сальков Н.А.</t>
  </si>
  <si>
    <t>978-5-16-014614-0</t>
  </si>
  <si>
    <t>07.03.01, 08.03.01, 08.04.01, 07.04.01, 07.04.03, 07.04.04</t>
  </si>
  <si>
    <t>Московский государственный академический художественный институт им. В.И. Сурикова при Российской академии художеств</t>
  </si>
  <si>
    <t>117800.06.01</t>
  </si>
  <si>
    <t>Введение в регрес. анализ и планир. регрес. эксп. в эконом.: Уч.пос./Г.А.Соколов.-ИНФРА-М,2022.-202с. (п)(ВО)</t>
  </si>
  <si>
    <t>ВВЕДЕНИЕ В РЕГРЕССИОННЫЙ АНАЛИЗ И ПЛАНИРОВАНИЕ РЕГРЕССИОННЫХ ЭКСПЕРИМЕНТОВ В ЭКОНОМИКЕ</t>
  </si>
  <si>
    <t>Соколов Г. А., Сагитов Р. В.</t>
  </si>
  <si>
    <t>ИНФРА-М Издательский Дом</t>
  </si>
  <si>
    <t>978-5-16-003646-5</t>
  </si>
  <si>
    <t>38.03.01, 38.03.05, 38.03.02, 38.03.04, 38.03.03</t>
  </si>
  <si>
    <t>Рекомендовано УМО вузов по образованию в области экономики и экономической теории в качестве учебного пособия для студентов, обучающихся по направлению 521600 "Экономика и  экономические специальности"</t>
  </si>
  <si>
    <t>Российский экономический университет им. Г.В. Плеханова, Пятигорский ф-л</t>
  </si>
  <si>
    <t>0110</t>
  </si>
  <si>
    <t>331700.05.01</t>
  </si>
  <si>
    <t>Введение в теорию биолог.таксономии: Моногр. /В.В.Зуев-М.:НИЦ ИНФРА-М,2023.-168с.(Научная мысль)(о)</t>
  </si>
  <si>
    <t>ВВЕДЕНИЕ В ТЕОРИЮ БИОЛОГИЧЕСКОЙ ТАКСОНОМИИ</t>
  </si>
  <si>
    <t>Зуев В.В.</t>
  </si>
  <si>
    <t>978-5-16-010628-1</t>
  </si>
  <si>
    <t>06.03.01, 06.03.02, 06.04.01, 06.04.02, 06.05.01, 06.06.01, 06.07.01</t>
  </si>
  <si>
    <t>Новосибирский национальный исследовательский государственный университет</t>
  </si>
  <si>
    <t>750605.02.01</t>
  </si>
  <si>
    <t>Введение в теорию игр: Уч. пос. / Д.А.Власов-М.:НИЦ ИНФРА-М,2024.-222 с.(ВО)(п)</t>
  </si>
  <si>
    <t>ВВЕДЕНИЕ В ТЕОРИЮ ИГР</t>
  </si>
  <si>
    <t>Власов Д.А.</t>
  </si>
  <si>
    <t>978-5-16-018869-0</t>
  </si>
  <si>
    <t>10.04.01, 01.03.02, 38.03.01, 38.03.02, 41.03.06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</si>
  <si>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экономическим направлениям подготовки (квалификация (степень) «бакалавр») (протокол № 6 от 08.06.2022)</t>
  </si>
  <si>
    <t>0123</t>
  </si>
  <si>
    <t>275700.06.01</t>
  </si>
  <si>
    <t>Введение в численные методы в задачах и упр.: Уч.пос. / А.В.Гулин и др. - М.:НИЦ ИНФРА-М,2022 - 368 с.(П)</t>
  </si>
  <si>
    <t>ВВЕДЕНИЕ В ЧИСЛЕННЫЕ МЕТОДЫ В ЗАДАЧАХ И УПРАЖНЕНИЯХ</t>
  </si>
  <si>
    <t>Гулин А.В., Мажорова О.С., Морозова В.А.</t>
  </si>
  <si>
    <t>978-5-16-012876-4</t>
  </si>
  <si>
    <t>02.03.02, 04.03.02, 02.03.03, 03.03.02, 03.03.03, 01.03.03, 01.03.04, 02.04.02, 01.04.02, 01.03.01, 02.03.01, 01.03.02, 09.02.07</t>
  </si>
  <si>
    <t>Допущено УМО по классическому университетскому образованию в качестве учебного пособия для студентов высших учебных заведений, обучающихся по направлениям ВПО 010400 «Прикладная математика и информатика» и 010300 «Фундаментальная информатика и информ</t>
  </si>
  <si>
    <t>Московский государственный университет им. М.В. Ломоносова</t>
  </si>
  <si>
    <t>690259.03.01</t>
  </si>
  <si>
    <t>Введение в ядерный магнит. резонанс и магнитную релакс.: Уч.пос. / С.Н.Полулях-М.:НИЦ ИНФРА-М,2023-163с</t>
  </si>
  <si>
    <t>ВВЕДЕНИЕ В ЯДЕРНЫЙ МАГНИТНЫЙ РЕЗОНАНС И МАГНИТНУЮ РЕЛАКСАЦИЮ</t>
  </si>
  <si>
    <t>Полулях С.Н.</t>
  </si>
  <si>
    <t>Высшее образование: Бакалавриат (КрымФУ)</t>
  </si>
  <si>
    <t>978-5-16-016715-2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</si>
  <si>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03.03.02 «Физика», 03.03.03 «Радиофизика», 16.03.01 «Техническая физика» (квалификация (степень) «бакалавр») (протокол № 4 от 25.02.2019)</t>
  </si>
  <si>
    <t>Крымский федеральный университет им. В.И. Вернадского</t>
  </si>
  <si>
    <t>157650.10.01</t>
  </si>
  <si>
    <t>Вейвлет-анализ и его приложения: Уч.пос. / Т.В.Захарова - 2 изд.-М.:ИНФРА-М,2023-158с(ВО)(о)</t>
  </si>
  <si>
    <t>ВЕЙВЛЕТ-АНАЛИЗ И ЕГО ПРИЛОЖЕНИЯ, ИЗД.2</t>
  </si>
  <si>
    <t>Захарова Т.В., Шестаков О.В.</t>
  </si>
  <si>
    <t>978-5-16-018171-4</t>
  </si>
  <si>
    <t>01.04.01, 02.04.01, 01.03.01, 02.03.01</t>
  </si>
  <si>
    <t>Рекомендовано в качестве учебного пособия для студентов высших учебных заведений, обучающихся по направлениям подготовки 01.03.01 "Математика" и 01.03.02 "Прикладная математика и информатика"</t>
  </si>
  <si>
    <t>0212</t>
  </si>
  <si>
    <t>690036.03.01</t>
  </si>
  <si>
    <t>Векторные задачи на графах с недетерминир. входными: Моногр. / Ф.Б.Тебуева-М.:ИЦ РИОР,НИЦ ИНФРА-М,2020-234с(О)</t>
  </si>
  <si>
    <t>ВЕКТОРНЫЕ ЗАДАЧИ НА ГРАФАХ С НЕДЕТЕРМИНИРОВАННЫМИ ВХОДНЫМИ ПАРАМЕТРАМИ</t>
  </si>
  <si>
    <t>Тебуева Ф.Б., Петренко В.И.</t>
  </si>
  <si>
    <t>978-5-369-01809-5</t>
  </si>
  <si>
    <t>01.04.04, 01.04.01, 01.04.02, 01.06.01</t>
  </si>
  <si>
    <t>674513.06.01</t>
  </si>
  <si>
    <t>Вентиляция и качество воздуха в зданиях гор. среды: Моногр./ Н.А.Литвинова-М.:НИЦ ИНФРА-М,2023.-175 с.(О)</t>
  </si>
  <si>
    <t>ВЕНТИЛЯЦИЯ И КАЧЕСТВО ВОЗДУХА В ЗДАНИЯХ ГОРОДСКОЙ СРЕДЫ</t>
  </si>
  <si>
    <t>Литвинова Н.А.</t>
  </si>
  <si>
    <t>978-5-16-013768-1</t>
  </si>
  <si>
    <t>08.03.01, 08.04.01, 08.05.01</t>
  </si>
  <si>
    <t>Тюменский индустриальный университет</t>
  </si>
  <si>
    <t>649145.06.01</t>
  </si>
  <si>
    <t>Водоподготовка и водоотведение: Уч.пос. / Б.С.Ксенофонтов - М.:ИД Форум, ИНФРА-М,2022-298 с.-(ВО)(П)</t>
  </si>
  <si>
    <t>ВОДОПОДГОТОВКА И ВОДООТВЕДЕНИЕ</t>
  </si>
  <si>
    <t>Ксенофонтов Б.С.</t>
  </si>
  <si>
    <t>Высшее образование : Магистратура</t>
  </si>
  <si>
    <t>978-5-8199-0679-8</t>
  </si>
  <si>
    <t>20.04.01, 20.04.02</t>
  </si>
  <si>
    <t>Рекомендовано в качестве учебного пособия для студентов высших учебных заведений, обучающихся по направлениям подготовки 20.04.01 «Техносферная безопасность», 20.04.02 «Природообустройство и водопользование» (квалификация (степень) «магистр»)</t>
  </si>
  <si>
    <t>Московский государственный технический университет им. Н.Э. Баумана</t>
  </si>
  <si>
    <t>788937.01.01</t>
  </si>
  <si>
    <t>Водотоки польдеров: методы исслед. и...: Монография / Ю.А.Спирин-М.:НИЦ ИНФРА-М,2023.-217 с.(о)</t>
  </si>
  <si>
    <t>ВОДОТОКИ ПОЛЬДЕРОВ: МЕТОДЫ ИССЛЕДОВАНИЙ И ГЕОЭКОЛОГИЧЕСКАЯ ОЦЕНКА</t>
  </si>
  <si>
    <t>Спирин Ю.А., Зотов С.И.</t>
  </si>
  <si>
    <t>Научная мысль БФУ</t>
  </si>
  <si>
    <t>978-5-16-018010-6</t>
  </si>
  <si>
    <t>20.03.02, 05.04.04, 05.04.05, 05.06.01, 20.06.01</t>
  </si>
  <si>
    <t>Февраль, 2023</t>
  </si>
  <si>
    <t>765631.01.01</t>
  </si>
  <si>
    <t>Возникновение и эволюция Вселенной: Моногр. / Е.К.Еськов-М.:НИЦ ИНФРА-М,2022.-306 с.(Науч.мысль)(О)</t>
  </si>
  <si>
    <t>ВОЗНИКНОВЕНИЕ И ЭВОЛЮЦИЯ ВСЕЛЕННОЙ</t>
  </si>
  <si>
    <t>978-5-16-017425-9</t>
  </si>
  <si>
    <t>03.05.02, 14.04.02, 03.04.01, 03.04.02, 44.04.01, 01.05.01, 03.05.01</t>
  </si>
  <si>
    <t>741931.03.01</t>
  </si>
  <si>
    <t>Вся физика на ладони. Интерактивный справ. / С.И.Кузнецов - М.:Вуз. уч., НИЦ ИНФРА-М,2024 - 252 с.(П)</t>
  </si>
  <si>
    <t>ВСЯ ФИЗИКА НА ЛАДОНИ. ИНТЕРАКТИВНЫЙ СПРАВОЧНИК</t>
  </si>
  <si>
    <t>Кузнецов С.И., Рогозин К.И.</t>
  </si>
  <si>
    <t>978-5-9558-0622-8</t>
  </si>
  <si>
    <t>Справочник</t>
  </si>
  <si>
    <t>00.02.23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</si>
  <si>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¶образования по техническим специальностям (протокол № 9 от 28.09.2020)</t>
  </si>
  <si>
    <t>Национальный исследовательский Томский политехнический университет</t>
  </si>
  <si>
    <t>342900.06.01</t>
  </si>
  <si>
    <t>Вся физика на ладони: интерактивный справ. / С.И.Кузнецов - М.:Вуз. уч., НИЦ ИНФРА-М,2024 - 252с(ВО)(П)</t>
  </si>
  <si>
    <t>ВСЯ ФИЗИКА НА ЛАДОНИ: ИНТЕРАКТИВНЫЙ СПРАВОЧНИК</t>
  </si>
  <si>
    <t>978-5-9558-0422-4</t>
  </si>
  <si>
    <t>04.03.02, 03.03.01, 03.03.02, 03.03.03, 04.03.01, 05.03.01, 05.03.02, 05.03.03, 05.03.04, 05.03.05, 05.03.06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</si>
  <si>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техническим направлениям подготовки (протокол № 4 от 02.03.2020)</t>
  </si>
  <si>
    <t>682656.03.01</t>
  </si>
  <si>
    <t>Выпускная квалификац. работа: бакалавриат: Уч.пос. / Л.Б.Лазарова-М.:НИЦ ИНФРА-М,2024-228 с(ВО:Бак.)</t>
  </si>
  <si>
    <t>ВЫПУСКНАЯ КВАЛИФИКАЦИОННАЯ РАБОТА: БАКАЛАВРИАТ</t>
  </si>
  <si>
    <t>Лазарова Л.Б., Каирова Ф.А.</t>
  </si>
  <si>
    <t>Высшее образование: Бакалавриат (Финуниверситет)</t>
  </si>
  <si>
    <t>978-5-16-014585-3</t>
  </si>
  <si>
    <t>00.03.16, 00.05.16, 38.03.01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</si>
  <si>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укрупненной группе специальностей и направлений 38.03.01 «Экономика» (квалификация (степень) «бакалавр») (протокол № 5 от 11.03.2019)38</t>
  </si>
  <si>
    <t>Финансовый университет при Правительстве Российской Федерации, Владикавказский ф-л</t>
  </si>
  <si>
    <t>361200.01.01</t>
  </si>
  <si>
    <t>Высшая математика для экон.: Уч.пос./О.А.Кастрица-4изд-НИЦ ИНФРА-М,Нов.знание,2015-491с(ВО:Бакалавр.)</t>
  </si>
  <si>
    <t>ВЫСШАЯ МАТЕМАТИКА ДЛЯ ЭКОНОМИСТОВ, ИЗД.4</t>
  </si>
  <si>
    <t>Кастрица О.А.</t>
  </si>
  <si>
    <t>Переплет</t>
  </si>
  <si>
    <t>978-5-16-010960-2</t>
  </si>
  <si>
    <t>01.03.01, 01.03.02, 38.03.01</t>
  </si>
  <si>
    <t>Допущено Министерством образования Республики Беларусь в качестве учебного пособия для студентов учреждений высшего образования по экономическим специальностям</t>
  </si>
  <si>
    <t>Белорусский государственный университет</t>
  </si>
  <si>
    <t>0415</t>
  </si>
  <si>
    <t>293200.07.01</t>
  </si>
  <si>
    <t>Высшая математика для экономистов: сб.задач: Уч.пос. / Г.И.Бобрик.-3изд.-М.:НИЦ ИНФРА-М,2023-539с(П)</t>
  </si>
  <si>
    <t>ВЫСШАЯ МАТЕМАТИКА ДЛЯ ЭКОНОМИСТОВ: СБОРНИК ЗАДАЧ, ИЗД.3</t>
  </si>
  <si>
    <t>Г.И.Бобрик, Р.К.Гринцевичюс, В.И.Матвеев и др.</t>
  </si>
  <si>
    <t>978-5-16-010074-6</t>
  </si>
  <si>
    <t>01.03.04, 01.03.01, 38.03.01</t>
  </si>
  <si>
    <t>0315</t>
  </si>
  <si>
    <t>462450.05.01</t>
  </si>
  <si>
    <t>Высшая математика для экономистов: теория пределов и прил.:Уч./А.В.Лежнёв - Магистр:ИНФРА-М,2023-240с (п)</t>
  </si>
  <si>
    <t>ВЫСШАЯ МАТЕМАТИКА ДЛЯ ЭКОНОМИСТОВ: ТЕОРИЯ ПРЕДЕЛОВ И ПРИЛОЖЕНИЯ</t>
  </si>
  <si>
    <t>Лежнёв А. В.</t>
  </si>
  <si>
    <t>Магистр</t>
  </si>
  <si>
    <t>Бакалавриат</t>
  </si>
  <si>
    <t>978-5-9776-0307-2</t>
  </si>
  <si>
    <t>38.04.09, 38.04.01, 38.04.08, 38.04.02, 38.04.03, 38.04.04, 38.03.01, 38.03.02, 38.03.04, 38.03.03, 41.03.06</t>
  </si>
  <si>
    <t>Рекомендовано УМО по образованию в области прикладной в качестве учебника для студентов высших учебных заведений, обучающихся по направлению 080800 «Прикладная информатика (по областям)» и другим экономическим специальностям информатики</t>
  </si>
  <si>
    <t>Российский экономический университет им. Г.В. Плеханова, Краснодарский ф-л</t>
  </si>
  <si>
    <t>403050.08.01</t>
  </si>
  <si>
    <t>Высшая математика. Практикум: Уч.пос. / И.Г.Лурье - М.:Вуз. уч., НИЦ ИНФРА-М,2023 - 160 с.(О)</t>
  </si>
  <si>
    <t>ВЫСШАЯ МАТЕМАТИКА. ПРАКТИКУМ</t>
  </si>
  <si>
    <t>Лурье И. Г., Фунтикова Т. П.</t>
  </si>
  <si>
    <t>978-5-9558-0281-7</t>
  </si>
  <si>
    <t>00.05.06, 00.03.06, 38.03.01, 38.03.02</t>
  </si>
  <si>
    <t>Калининградский государственный технический университет, Научно-техническая библиотека</t>
  </si>
  <si>
    <t>472150.13.01</t>
  </si>
  <si>
    <t>Высшая математика: Уч. / В.С.Шипачев - М.:НИЦ ИНФРА-М,2024 - 479 с.-(ВО)(П)</t>
  </si>
  <si>
    <t>ВЫСШАЯ МАТЕМАТИКА</t>
  </si>
  <si>
    <t>Шипачев В.С.</t>
  </si>
  <si>
    <t>978-5-16-010072-2</t>
  </si>
  <si>
    <t>00.05.06, 00.03.06</t>
  </si>
  <si>
    <t>Рекомендовано Министерством образования и науки Российской Федерации в качестве учебника для студентов высших учебных заведений</t>
  </si>
  <si>
    <t>Московский государственный университет им. М.В. Ломоносова, факультет вычислительной математики и ки</t>
  </si>
  <si>
    <t>172000.08.01</t>
  </si>
  <si>
    <t>Высшая математика: Уч. / Л.Т. Ячменёв - М.: ИЦ РИОР: НИЦ Инфра-М, 2023 - 752 с.(ВО; Бакалавриат) (п)</t>
  </si>
  <si>
    <t>Ячменёв Л. Т.</t>
  </si>
  <si>
    <t>978-5-369-01032-7</t>
  </si>
  <si>
    <t>00.05.06, 00.03.06, 33.02.01</t>
  </si>
  <si>
    <t>Рекомендовано Научно-методическим советом по математике Министерства образования и науки РФ в качестве учебника для студентов вузов, обучающихся по инженерно-техническим и экономическим специальностям</t>
  </si>
  <si>
    <t>076450.11.01</t>
  </si>
  <si>
    <t>Высшая математика: Уч.пос. / В.И.Малыхин - 2 изд. - М.:ИНФРА-М,2023 - 365 с.-(ВО)(п)</t>
  </si>
  <si>
    <t>ВЫСШАЯ МАТЕМАТИКА, ИЗД.2</t>
  </si>
  <si>
    <t>Малыхин В.И.</t>
  </si>
  <si>
    <t>978-5-16-002625-1</t>
  </si>
  <si>
    <t>38.03.01, 38.03.05, 38.03.06, 38.03.07, 38.03.02, 38.03.04, 38.03.03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</si>
  <si>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спец. "Финансы и кредит", "Бух. учет, анализ и аудит", "Мировая экономика", "Налоги и налогообложение"</t>
  </si>
  <si>
    <t>Государственный университет управления</t>
  </si>
  <si>
    <t>0206</t>
  </si>
  <si>
    <t>699301.02.01</t>
  </si>
  <si>
    <t>Вычислительные модели: Уч.пос. / А.П.Гловацкая - М.:НИЦ ИНФРА-М,2023 - 395 с.-(ВО: Бакалавриат)(П)</t>
  </si>
  <si>
    <t>ВЫЧИСЛИТЕЛЬНЫЕ МОДЕЛИ</t>
  </si>
  <si>
    <t>Гловацкая А.П.</t>
  </si>
  <si>
    <t>978-5-16-014981-3</t>
  </si>
  <si>
    <t>02.03.02, 04.03.02, 02.03.03, 03.03.02, 03.03.03, 01.03.03, 01.03.04, 15.03.03, 01.04.04, 01.04.02, 01.04.03, 09.04.01, 02.03.01, 01.03.02, 09.02.07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</si>
  <si>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 по математическим и естественно-научным направлениям подготовки (квалификация (степень) «бакалавр») (протокол № 8 от 22.06.2020)</t>
  </si>
  <si>
    <t>Московский технический университет связи и информатики</t>
  </si>
  <si>
    <t>477500.04.01</t>
  </si>
  <si>
    <t>Генетическая минералогия и...: Уч.пос. /О.В.Япаскурт -2 изд.-М.:НИЦ ИНФРА-М,2021-356с(ВО:Магистр)(п)</t>
  </si>
  <si>
    <t>ГЕНЕТИЧЕСКАЯ МИНЕРАЛОГИЯ И СТАДИАЛЬНЫЙ АНАЛИЗ ПРОЦЕССОВ ОСАДОЧНОГО ПОРОДО- И РУДООБРАЗОВАНИЯ, ИЗД.2</t>
  </si>
  <si>
    <t>Япаскурт О.В.</t>
  </si>
  <si>
    <t>978-5-16-011667-9</t>
  </si>
  <si>
    <t>05.00.00, 21.00.00, 05.03.01, 05.04.01, 21.05.02</t>
  </si>
  <si>
    <t>Рекомендовано УМС геологического факультета МГУ им. MB. Ломоносова в качестве учебного пособия для студентов, обучающихся по направлению 05.04.01 «Геология»</t>
  </si>
  <si>
    <t>Московский государственный университет им. М.В. Ломоносова, географический факультет</t>
  </si>
  <si>
    <t>708358.03.01</t>
  </si>
  <si>
    <t>Географические информ.сист. в тем.картографии: Уч.пос. / В.П.Раклов - 5 изд,-М.:НИЦ ИНФРА-М,2022-177с(П)</t>
  </si>
  <si>
    <t>ГЕОГРАФИЧЕСКИЕ ИНФОРМАЦИОННЫЕ СИСТЕМЫ В ТЕМАТИЧЕСКОЙ КАРТОГРАФИИ, ИЗД.5</t>
  </si>
  <si>
    <t>Раклов В.П.</t>
  </si>
  <si>
    <t>978-5-16-015299-8</t>
  </si>
  <si>
    <t>05.02.01, 05.03.03, 05.03.06, 05.04.06, 21.04.02, 21.03.02, 21.03.01, 21.03.03</t>
  </si>
  <si>
    <t>Рекомендовано УМО по образованию в области землеустройства и кадастров в качестве учебного пособия для студентов высших учебных заведений, обучающихся по направлениям подготовки 21.03.02 «Землеустройство и кадастры», 05.03.06 «Экология и природопользование», 21.03.03 «Геодезия и дистанционное зондирование»</t>
  </si>
  <si>
    <t>0519</t>
  </si>
  <si>
    <t>226800.06.01</t>
  </si>
  <si>
    <t>География почв. Почвы тропиков и субтропиков: Уч./ В.Д. Наумов. - М.: ИНФРА-М, 2024. - 284 с.(ВО) (п)</t>
  </si>
  <si>
    <t>ГЕОГРАФИЯ ПОЧВ. ПОЧВЫ ТРОПИКОВ И СУБТРОПИКОВ</t>
  </si>
  <si>
    <t>Наумов В. Д.</t>
  </si>
  <si>
    <t>978-5-16-009014-6</t>
  </si>
  <si>
    <t>35.03.03</t>
  </si>
  <si>
    <t>Допущено Учебно-методическим объединением вузов Российской Федерации по агрономическому образованию в качестве учебника для подготовки бакалавров по направлению 35.03.03 (110100) «Агрохимия и агропочвоведение»</t>
  </si>
  <si>
    <t>641799.09.01</t>
  </si>
  <si>
    <t>География: Уч. / О.В.Шульгина и др.-М.:НИЦ ИНФРА-М,2024.-313 с..-(СПО)(П)</t>
  </si>
  <si>
    <t>ГЕОГРАФИЯ</t>
  </si>
  <si>
    <t>Шульгина О.В., Козаренко А.Е., Самусенко Д.Н.</t>
  </si>
  <si>
    <t>978-5-16-013213-6</t>
  </si>
  <si>
    <t>31.02.01, 00.02.19</t>
  </si>
  <si>
    <t>Рекомендовано в качестве учебника для учебных заведений, реализующих основную профессиональную образовательную программу среднего профессионального образования на базе основного общего образования</t>
  </si>
  <si>
    <t>Московский городской педагогический университет</t>
  </si>
  <si>
    <t>426500.08.01</t>
  </si>
  <si>
    <t>Геодезия: Задачник: Уч.пос. / М.А.Гиршберг-М.:НИЦ ИНФРА-М,2024.-288 с.(ВО: Бакалавриат)(п)</t>
  </si>
  <si>
    <t>ГЕОДЕЗИЯ: ЗАДАЧНИК</t>
  </si>
  <si>
    <t>Гиршберг М.А.</t>
  </si>
  <si>
    <t>978-5-16-006350-8</t>
  </si>
  <si>
    <t>21.02.13, 21.02.10, 35.02.01, 35.02.02, 08.03.01, 35.03.10, 21.04.03, 21.04.02, 35.04.09, 08.04.01, 21.03.02, 21.03.03</t>
  </si>
  <si>
    <t>Рекомендовано в качестве учебного пособия для студентов высших учебных заведений, обучающихся по направлениям подготовки 21.03.03 «Геодезия и дистанционное зондирование», 08.03.01 «Строительство», 21.03.02 «Землеустройство и кадастры» (квалификация (степень) «бакалавр»)</t>
  </si>
  <si>
    <t>737685.03.01</t>
  </si>
  <si>
    <t>Геодезия: классическая и современная: Уч. / Ю.А.Кравченко - М.:НИЦ ИНФРА-М,2024-775 с.(ВО)(п)</t>
  </si>
  <si>
    <t>ГЕОДЕЗИЯ: КЛАССИЧЕСКАЯ И СОВРЕМЕННАЯ</t>
  </si>
  <si>
    <t>Кравченко Ю.А.</t>
  </si>
  <si>
    <t>978-5-16-019215-4</t>
  </si>
  <si>
    <t>07.03.01, 07.03.02, 08.03.01, 20.03.02, 08.05.01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</si>
  <si>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08.03.01 «Строительство» (квалификация (степень) «бакалавр») (протокол № 9 от 17.11.2021)</t>
  </si>
  <si>
    <t>Новосибирский государственный архитектурно-строительный университет (Сибстрин)</t>
  </si>
  <si>
    <t>426600.13.01</t>
  </si>
  <si>
    <t>Геодезия: Уч. / М.А.Гиршберг - М.:НИЦ ИНФРА-М,2023 - 384 с.-(ВО: Бакалавриат)(П)</t>
  </si>
  <si>
    <t>ГЕОДЕЗИЯ</t>
  </si>
  <si>
    <t>Гиршберг М. А.</t>
  </si>
  <si>
    <t>978-5-16-018677-1</t>
  </si>
  <si>
    <t>Профессиональное образование / ВО - Кадры высшей квалификации</t>
  </si>
  <si>
    <t>21.02.10, 35.02.01, 35.02.02, 07.02.01, 08.02.01, 08.02.04, 21.05.01, 21.03.03</t>
  </si>
  <si>
    <t>Рекомендуется в качестве учебника для студентов высших учебных заведений по направлениям подготовки  21.03.03 «Геодезия и дистанционное зондирование», 21.03.02 «Землеустройство и кадастры»</t>
  </si>
  <si>
    <t>673213.02.01</t>
  </si>
  <si>
    <t>Геоинформационное картограф. в эконом. и соц. геогр.: Уч.пос./ А.В.Молочко-М.:НИЦ ИНФРА-М,2020-127 с.(ВО)(О)</t>
  </si>
  <si>
    <t>ГЕОИНФОРМАЦИОННОЕ КАРТОГРАФИРОВАНИЕ В ЭКОНОМИЧЕСКОЙ И СОЦИАЛЬНОЙ ГЕОГРАФИИ</t>
  </si>
  <si>
    <t>Молочко А.В., Хворостухин Д.П.</t>
  </si>
  <si>
    <t>978-5-16-013747-6</t>
  </si>
  <si>
    <t>05.03.02, 05.03.03, 05.03.04, 05.04.02, 05.04.06, 21.03.02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</si>
  <si>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направлениям подготовки 05.03.02 «География», 05.03.03 «Картография и геоинформатика», 21.03.02 «Землеустройство и кадастры» (квалификация (степень) «бакалавр»)</t>
  </si>
  <si>
    <t>Саратовский государственный университет им. Н.Г. Чернышевского</t>
  </si>
  <si>
    <t>664177.03.01</t>
  </si>
  <si>
    <t>Геоинформационные сис. в техносфер. безоп.: Уч.пос. / Я.Ю.Блиновская-М.:Форум, НИЦ ИНФРА-М,2023.-160 с.(ВО)(П)</t>
  </si>
  <si>
    <t>ГЕОИНФОРМАЦИОННЫЕ СИСТЕМЫ В ТЕХНОСФЕРНОЙ БЕЗОПАСНОСТИ</t>
  </si>
  <si>
    <t>978-5-00091-651-3</t>
  </si>
  <si>
    <t>20.03.01, 20.03.02, 20.04.01, 20.04.02, 20.05.01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</si>
  <si>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укрупненной группе направлений подготовки 20.03.00 «Техносферная безопасность и природообустройство» (квалификация (степень) «бакалавр») (протокол № 12 от 14.12.2020)</t>
  </si>
  <si>
    <t>483500.07.01</t>
  </si>
  <si>
    <t>Геология для горного дела: Уч.пос./ Н.В.Короновский - 2 изд. - М.:НИЦ ИНФРА-М,2024 - 576 с.(ВО)(П)</t>
  </si>
  <si>
    <t>ГЕОЛОГИЯ ДЛЯ ГОРНОГО ДЕЛА, ИЗД.2</t>
  </si>
  <si>
    <t>Короновский Н.В., Старостин В.И., Авдонин В.В.</t>
  </si>
  <si>
    <t>Высшее образование: Специалитет</t>
  </si>
  <si>
    <t>978-5-16-011719-5</t>
  </si>
  <si>
    <t>Профессиональное образование / ВО - Специалитет</t>
  </si>
  <si>
    <t>21.02.12, 21.02.10, 05.03.01, 05.04.01, 21.05.03, 21.05.02, 21.05.04</t>
  </si>
  <si>
    <t>Допущено Учебно-методическим объединением по образованию в области горного дела в качестве учебнрго пособия для студентов высших учебных заведений, обучающихся по направлению подготовки 21.05.04 «Горное дело»</t>
  </si>
  <si>
    <t>451650.05.01</t>
  </si>
  <si>
    <t>Геология и нефтегазоносность Каспийской впадины: Моногр. / С.А. Алиева - М.: НИЦ ИНФРА-М, 2023-486с.(п)</t>
  </si>
  <si>
    <t>ГЕОЛОГИЯ И НЕФТЕГАЗОНОСНОСТЬ КАСПИЙСКОЙ ВПАДИНЫ</t>
  </si>
  <si>
    <t>Алиева С.А., Авербух Б.М., Серикова У.С. и др.</t>
  </si>
  <si>
    <t>978-5-16-009212-6</t>
  </si>
  <si>
    <t>05.03.01, 05.04.01, 21.05.02</t>
  </si>
  <si>
    <t>Российский государственный университет нефти и газа (НИУ) им. И.М. Губкина</t>
  </si>
  <si>
    <t>648973.05.01</t>
  </si>
  <si>
    <t>Геология регионов России: Уч. / О.И.Серебряков-М.:НИЦ ИНФРА-М,2023.-222 с.(ВО: Магистратура)(П)</t>
  </si>
  <si>
    <t>ГЕОЛОГИЯ РЕГИОНОВ РОССИИ</t>
  </si>
  <si>
    <t>Серебряков О.И., Федорова Н.Ф.</t>
  </si>
  <si>
    <t>978-5-16-012684-5</t>
  </si>
  <si>
    <t>21.02.10, 05.03.01, 05.04.01</t>
  </si>
  <si>
    <t>Рекомендовано Федеральным Учебно-методическим объединением для магистрантов высших учебных заведений, обучающихся по направлению подготовки 05.04.01 «Геология»</t>
  </si>
  <si>
    <t>Астраханский государственный университет</t>
  </si>
  <si>
    <t>631301.06.01</t>
  </si>
  <si>
    <t>Геология России и сопредельных террит.: Уч. / Н.В.Короновский-2 изд.-М.:НИЦ ИНФРА-М,2024-230с(ВО)(П)</t>
  </si>
  <si>
    <t>ГЕОЛОГИЯ РОССИИ И СОПРЕДЕЛЬНЫХ ТЕРРИТОРИЙ, ИЗД.2</t>
  </si>
  <si>
    <t>Короновский Н.В.</t>
  </si>
  <si>
    <t>978-5-16-018888-1</t>
  </si>
  <si>
    <t>21.02.12, 21.02.10, 05.03.01, 05.04.01, 21.05.02</t>
  </si>
  <si>
    <t>Рекомендовано Учебно-методическим объединением по классическому университетскому образованию в качестве учебника для студентов, обучающихся по направлению подготовки 05.03.01 «Геология» (квалификация (степень) «бакалавр»)</t>
  </si>
  <si>
    <t>283900.08.01</t>
  </si>
  <si>
    <t>Геология с основами геоморфологии: Уч.пос. / Под ред. Ганжары Н.Ф.-М.:НИЦ ИНФРА-М,2023.-207 с.(П)</t>
  </si>
  <si>
    <t>ГЕОЛОГИЯ С ОСНОВАМИ ГЕОМОРФОЛОГИИ</t>
  </si>
  <si>
    <t>Ганжара Н.Ф.</t>
  </si>
  <si>
    <t>978-5-16-009905-7</t>
  </si>
  <si>
    <t>21.02.10, 35.03.03</t>
  </si>
  <si>
    <t>766521.02.01</t>
  </si>
  <si>
    <t>Геометрическая алгебра Клиффорда: Моногр. / Г.В.Кондратьев-М.:НИЦ ИНФРА-М,2023.-217 с.(Науч.мысль)(П)</t>
  </si>
  <si>
    <t>ГЕОМЕТРИЧЕСКАЯ АЛГЕБРА КЛИФФОРДА</t>
  </si>
  <si>
    <t>Кондратьев Г.В.</t>
  </si>
  <si>
    <t>978-5-16-017235-4</t>
  </si>
  <si>
    <t>01.06.01, 01.03.02</t>
  </si>
  <si>
    <t>Нижегородский государственный педагогический университет им. К. Минина</t>
  </si>
  <si>
    <t>082980.09.01</t>
  </si>
  <si>
    <t>Геометрические построения на плоскости..: Уч. пос./А.А.Дадаян - 2 изд.- Форум:ИНФРА-М,2024-464с.(ПО) (п)</t>
  </si>
  <si>
    <t>ГЕОМЕТРИЧЕСКИЕ ПОСТРОЕНИЯ НА ПЛОСКОСТИ И В ПРОСТРАНСТВЕ: ЗАДАЧИ И РЕШЕНИЯ, ИЗД.2</t>
  </si>
  <si>
    <t>Дадаян А. А.</t>
  </si>
  <si>
    <t>978-5-91134-807-6</t>
  </si>
  <si>
    <t>43.02.08, 26.02.05, 26.02.04, 00.02.06</t>
  </si>
  <si>
    <t>Допущено Мин. обр. и науки РФ в качестве учебного пособия для студентов учреждений среднего профессионального образования</t>
  </si>
  <si>
    <t>0214</t>
  </si>
  <si>
    <t>646318.03.01</t>
  </si>
  <si>
    <t>Геоэкологические проблемы трансформ.рельефа..: Моногр. / П.В.Большаник-М.:НИЦ ИНФРА-М,2020-243с.(О)</t>
  </si>
  <si>
    <t>ГЕОЭКОЛОГИЧЕСКИЕ ПРОБЛЕМЫ ТРАНСФОРМАЦИИ РЕЛЬЕФА УРБАНИЗИРОВАННЫХ ТЕРРИТОРИЙ (НА ПРИМЕРЕ ГОРОДОВ ЗАПАДНОЙ СИБИРИ)</t>
  </si>
  <si>
    <t>Большаник П.В., Недбай В.Н.</t>
  </si>
  <si>
    <t>978-5-16-015687-3</t>
  </si>
  <si>
    <t>05.03.06, 05.04.06</t>
  </si>
  <si>
    <t>Югорский государственный университет</t>
  </si>
  <si>
    <t>742909.02.01</t>
  </si>
  <si>
    <t>Геоэкология города...: Моногр. / Под ред. Ивашкиной И.В. - М.:НИЦ ИНФРА-М,2022 - 185 с.(Науч.мысль)(О)</t>
  </si>
  <si>
    <t>ГЕОЭКОЛОГИЯ ГОРОДА: МОДЕЛИ КАЧЕСТВА СРЕДЫ</t>
  </si>
  <si>
    <t>Сокольская Е.В., Кочуров Б.И., Ивашкина И.В.</t>
  </si>
  <si>
    <t>978-5-16-016643-8</t>
  </si>
  <si>
    <t>05.03.06, 05.04.01, 05.04.06, 05.06.01</t>
  </si>
  <si>
    <t>408900.09.01</t>
  </si>
  <si>
    <t>Геоэкология: Уч.пос. / И.Ю.Григорьева - М.:НИЦ ИНФРА-М,2021 - 270 с.-(ВО: Бакалавриат)(П)</t>
  </si>
  <si>
    <t>ГЕОЭКОЛОГИЯ</t>
  </si>
  <si>
    <t>Григорьева И.Ю.</t>
  </si>
  <si>
    <t>978-5-16-006314-0</t>
  </si>
  <si>
    <t>05.03.01, 05.03.02, 05.03.06, 05.04.01, 05.04.02, 05.04.06</t>
  </si>
  <si>
    <t>Рекомендовано Межрегиональным учебно-методическим советом профессионального образования в качестве  учебного пособия для студентов высших учебных заведений, обучающихся по направлениям подготовки  05.03.01 «Геология», 05.03.02 «География», 05.03.06 «Экология и природопользование» (протокол № 8 от  29.04.2019)</t>
  </si>
  <si>
    <t>408900.11.01</t>
  </si>
  <si>
    <t>Геоэкология: Уч.пос. / И.Ю.Григорьева, - 2 изд.-М.:НИЦ ИНФРА-М,2023.-270 с.(ВО)(п)</t>
  </si>
  <si>
    <t>ГЕОЭКОЛОГИЯ, ИЗД.2</t>
  </si>
  <si>
    <t>662376.06.01</t>
  </si>
  <si>
    <t>Геоэкология: Уч.пос. / Н.В.Короновский и др. - 3 изд. - М.:НИЦ ИНФРА-М,2024-411 с.(ВО)(п)</t>
  </si>
  <si>
    <t>ГЕОЭКОЛОГИЯ, ИЗД.3</t>
  </si>
  <si>
    <t>Короновский Н.В., Брянцева Г.В., Ясаманов Н.А.</t>
  </si>
  <si>
    <t>978-5-16-019449-3</t>
  </si>
  <si>
    <t>Допущено Учебно-методическим объединением по классическому университетскому образованию Российской Федерации в качестве учебного пособия для студентов высших учебных заведений, обучающихся по направлению «Экология и природопользование»</t>
  </si>
  <si>
    <t>0318</t>
  </si>
  <si>
    <t>665621.01.01</t>
  </si>
  <si>
    <t>Гидравлика и гидропневмопривод. Гидравлика.: Уч. / А.В.Лепешкин.-М.:НИЦ ИНФРА-М,2023.-319 с(ВО)(П)</t>
  </si>
  <si>
    <t>ГИДРАВЛИКА И ГИДРОПНЕВМОПРИВОД. ГИДРАВЛИКА.</t>
  </si>
  <si>
    <t>Лепешкин А.В., Михайлин А.А., Шейпак А.А. и др.</t>
  </si>
  <si>
    <t>978-5-16-013824-4</t>
  </si>
  <si>
    <t>23.03.03</t>
  </si>
  <si>
    <t>Март, 2023</t>
  </si>
  <si>
    <t>682854.04.01</t>
  </si>
  <si>
    <t>Гидравлика и гидропневмопривод. Основы механики...: Уч. / А.А.Шейпак, - 6 изд.-М.:НИЦ ИНФРА-М,2023.-270 с.(П)</t>
  </si>
  <si>
    <t>ГИДРАВЛИКА И ГИДРОПНЕВМОПРИВОД. ОСНОВЫ МЕХАНИКИ ЖИДКОСТИ И ГАЗА, ИЗД.6</t>
  </si>
  <si>
    <t>Шейпак А.А.</t>
  </si>
  <si>
    <t>978-5-16-013908-1</t>
  </si>
  <si>
    <t>15.02.03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</si>
  <si>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15.02.00 «Машиностроение»</t>
  </si>
  <si>
    <t>ПО2</t>
  </si>
  <si>
    <t>0619</t>
  </si>
  <si>
    <t>321000.08.01</t>
  </si>
  <si>
    <t>Гидравлика и гидропневмопривод.: Уч. / А.А.Шейпак - 6 изд. - М.:НИЦ ИНФРА-М,2024 - 272 с.(ВО)(П)</t>
  </si>
  <si>
    <t>ГИДРАВЛИКА И ГИДРОПНЕВМОПРИВОД.ОСНОВЫ МЕХАНИКИ ЖИДКОСТИ И ГАЗА, ИЗД.6</t>
  </si>
  <si>
    <t>978-5-16-019380-9</t>
  </si>
  <si>
    <t>08.02.04, 23.04.02, 23.05.01, 23.05.02, 23.03.01, 23.03.02, 23.03.03</t>
  </si>
  <si>
    <t>Допущено УМО вузов РФ по образованию в области транспортных машин и транспортно-технологических комплексов в качестве учебника для студентов, обучающихся по направлению подготовки 23.03.02 «Наземные транспортно-технологические комплексы»</t>
  </si>
  <si>
    <t>0617</t>
  </si>
  <si>
    <t>309600.02.01</t>
  </si>
  <si>
    <t>Гидравлика, гидрология, гидрометрия...: Уч.пос. / В.Т.Парахневич-М.:НИЦ ИНФРА-М, Нов. знан.,2023.-368 с.(П)</t>
  </si>
  <si>
    <t>ГИДРАВЛИКА, ГИДРОЛОГИЯ, ГИДРОМЕТРИЯ ВОДОТОКОВ</t>
  </si>
  <si>
    <t>Парахневич В.Т.</t>
  </si>
  <si>
    <t>978-5-16-010308-2</t>
  </si>
  <si>
    <t>08.02.04, 08.03.01, 08.04.01</t>
  </si>
  <si>
    <t>Белорусско-Российский университет</t>
  </si>
  <si>
    <t>288200.06.01</t>
  </si>
  <si>
    <t>Гидравлика: Уч. / А.П.Исаев и др. - М.:НИЦ ИНФРА-М,2024.-420 с. -(ВО: Бакалавриат)(П)</t>
  </si>
  <si>
    <t>ГИДРАВЛИКА</t>
  </si>
  <si>
    <t>Исаев А.П., Кожевникова Н.Г., Ещин А.В.</t>
  </si>
  <si>
    <t>978-5-16-009983-5</t>
  </si>
  <si>
    <t>08.02.04, 35.03.06</t>
  </si>
  <si>
    <t>Рекомендовано Учебно-методическим объединением вузов Российской Федерации по агроинженерному образованию в качестве учебника для студентов высших учебных заведений, обучающихся по направлению подготовки 35.03.06 «Агроинженерия»</t>
  </si>
  <si>
    <t>167350.09.01</t>
  </si>
  <si>
    <t>Гидрогеодинамическое моделир. взаимо...: Монография / С.О.Гриневский - М.:НИЦ ИНФРА-М,2023 - 153 с.(О)</t>
  </si>
  <si>
    <t>ГИДРОГЕОДИНАМИЧЕСКОЕ МОДЕЛИРОВАНИЕ ВЗАИМОДЕЙСТВИЯ ПОДЗЕМНЫХ И ПОВЕРХНОСТНЫХ ВОД</t>
  </si>
  <si>
    <t>Гриневский С. О.</t>
  </si>
  <si>
    <t>978-5-16-005256-4</t>
  </si>
  <si>
    <t>05.03.01, 05.04.01</t>
  </si>
  <si>
    <t>657523.07.01</t>
  </si>
  <si>
    <t>Гидрогеология и основы геологии: Уч.пос. / Н.П.Карпенко и др.-М.:НИЦ ИНФРА-М,2023.-328 с.(ВО)(П)</t>
  </si>
  <si>
    <t>ГИДРОГЕОЛОГИЯ И ОСНОВЫ ГЕОЛОГИИ</t>
  </si>
  <si>
    <t>Карпенко Н.П., Ломакин И.М., Дроздов В.С.</t>
  </si>
  <si>
    <t>978-5-16-018564-4</t>
  </si>
  <si>
    <t>21.02.12, 21.02.09, 21.02.10, 05.03.01, 05.03.06, 20.03.01, 08.03.01, 20.03.02, 21.03.02</t>
  </si>
  <si>
    <t>Рекомендовано Учебно-методическим объединением по образованию в области природообустройства и водопользования в качестве учебного пособия для студентов высших учебных заведений, обучающихся по направлению подготовки «Природообустройство»</t>
  </si>
  <si>
    <t>683617.02.01</t>
  </si>
  <si>
    <t>Гидрогеология месторождений нефти и газа: Уч. / О.И.Серебряков-М.:НИЦ ИНФРА-М,2023-251 с.-(ВО: Магистратура)(П)</t>
  </si>
  <si>
    <t>ГИДРОГЕОЛОГИЯ МЕСТОРОЖДЕНИЙ НЕФТИ И ГАЗА</t>
  </si>
  <si>
    <t>Серебряков О.И., Ушивцева Л.Ф.</t>
  </si>
  <si>
    <t>978-5-16-014209-8</t>
  </si>
  <si>
    <t>05.04.01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</si>
  <si>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 по направлению подготовки 05.04.01 «Геология» (квалификация (степень) «магистр») (протокол № 8 от 22.06.2020)</t>
  </si>
  <si>
    <t>376600.08.01</t>
  </si>
  <si>
    <t>Гидрогеология нефти и газа: Уч. / О.И.Серебряков и др.-М.:НИЦ ИНФРА-М,2023.-249 с.(П)</t>
  </si>
  <si>
    <t>ГИДРОГЕОЛОГИЯ НЕФТИ И ГАЗА</t>
  </si>
  <si>
    <t>Серебряков О.И., Ушивцева Л.Ф., Смирнова Т.С.</t>
  </si>
  <si>
    <t>978-5-16-018140-0</t>
  </si>
  <si>
    <t>05.00.00, 05.03.01</t>
  </si>
  <si>
    <t>682638.03.01</t>
  </si>
  <si>
    <t>Гидрогеология: Уч. / О.И.Серебряков и др. - М.:НИЦ ИНФРА-М,2023 - 233 с.-(СПО)(П)</t>
  </si>
  <si>
    <t>ГИДРОГЕОЛОГИЯ</t>
  </si>
  <si>
    <t>Серебряков О.И., Ушивцева Л.Ф., Жигульская О.П. и др.</t>
  </si>
  <si>
    <t>978-5-16-014273-9</t>
  </si>
  <si>
    <t>21.02.09, 05.02.02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</si>
  <si>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21.02.00 «Прикладная геология, горное дело, нефтегазовое дело и геодезия» (протокол № 9 от 13.05.2019)</t>
  </si>
  <si>
    <t>215800.11.01</t>
  </si>
  <si>
    <t>Гидрогеоэкология городов: Уч.пос. / М.С.Орлов - М.:НИЦ ИНФРА-М,2022 - 288 с.-(ВО: Магистратура)(П)</t>
  </si>
  <si>
    <t>ГИДРОГЕОЭКОЛОГИЯ ГОРОДОВ</t>
  </si>
  <si>
    <t>Орлов М.С., Питьева К.Е.</t>
  </si>
  <si>
    <t>978-5-16-006050-7</t>
  </si>
  <si>
    <t>Допущено УМО по классическому университетскому образованию в качестве учебного пособия для студентов, обучающихся по направлению подготовки 05.03.01 «Геология»</t>
  </si>
  <si>
    <t>453350.04.01</t>
  </si>
  <si>
    <t>Гидродинамика и тепломассообмен пленочных течений...:Моногр./М.И.Шиляев - М:НИЦ ИНФРА-М,2021-198с (о)</t>
  </si>
  <si>
    <t>ГИДРОДИНАМИКА И ТЕПЛОМАССООБМЕН ПЛЕНОЧНЫХ ТЕЧЕНИЙ В ПОЛЯХ МАССОВЫХ СИЛ И ИХ ПРИЛОЖЕНИЯ</t>
  </si>
  <si>
    <t>Шиляев М. И., Толстых А. В.</t>
  </si>
  <si>
    <t>978-5-16-009291-1</t>
  </si>
  <si>
    <t>22.03.01, 22.04.01</t>
  </si>
  <si>
    <t>344600.05.01</t>
  </si>
  <si>
    <t>Гидродинамика и теплообм.в роторах и трансм..: Моногр. / Н.Н.Салов-М.:Вуз.уч.,НИЦ ИНФРА-М,2024-180с(О)</t>
  </si>
  <si>
    <t>ГИДРОДИНАМИКА И ТЕПЛООБМЕН В РОТОРАХ И ТРАНСМИССИЯХ ГАЗОТУРБИННЫХ ДВИГАТЕЛЕЙ. УМЕНЬШЕНИЕ ТЕМПЕРАТУРНЫХ НАПРЯЖЕНИЙ В ДИСКАХ</t>
  </si>
  <si>
    <t>Салов Н.Н., Харченко А.А.</t>
  </si>
  <si>
    <t>Научная книга</t>
  </si>
  <si>
    <t>978-5-9558-0427-9</t>
  </si>
  <si>
    <t>Дополнительное образование / Дополнительное профессиональное образование / ДПО - повышение квалификации</t>
  </si>
  <si>
    <t>14.05.03, 14.05.04</t>
  </si>
  <si>
    <t>Севастопольский государственный университет</t>
  </si>
  <si>
    <t>668061.05.01</t>
  </si>
  <si>
    <t>Глобальная экология - экономика и финансы: Моногр. / В.М.Пищулов - 2 изд. - М.:НИЦ ИНФРА-М,2023.-325 с.(П)</t>
  </si>
  <si>
    <t>ГЛОБАЛЬНАЯ ЭКОЛОГИЯ - ЭКОНОМИКА И ФИНАНСЫ, ИЗД.2</t>
  </si>
  <si>
    <t>Пищулов В.М.</t>
  </si>
  <si>
    <t>978-5-16-016616-2</t>
  </si>
  <si>
    <t>Уральский государственный экономический университет</t>
  </si>
  <si>
    <t>668061.02.01</t>
  </si>
  <si>
    <t>Глобальная экология − экономика и финансы: Моногр./ В.М.Пищулов-М.:НИЦ ИНФРА-М,2020-310с(Науч.мысль)</t>
  </si>
  <si>
    <t>ГЛОБАЛЬНАЯ ЭКОЛОГИЯ − ЭКОНОМИКА И ФИНАНСЫ</t>
  </si>
  <si>
    <t>978-5-16-013306-5</t>
  </si>
  <si>
    <t>445600.10.01</t>
  </si>
  <si>
    <t>Говорите языком схем: Краткий справ ./ В.Б.Исаков - 2 изд. М.:Юр.Норма, НИЦ ИНФРА-М,2023 - 216 с.(О)</t>
  </si>
  <si>
    <t>ГОВОРИТЕ ЯЗЫКОМ СХЕМ, ИЗД.2</t>
  </si>
  <si>
    <t>Исаков В.Б.</t>
  </si>
  <si>
    <t>Юр. НОРМА</t>
  </si>
  <si>
    <t>978-5-00156-230-6</t>
  </si>
  <si>
    <t>40.03.01, 40.04.01, 40.05.01, 40.05.02, 40.05.03</t>
  </si>
  <si>
    <t>Национальный исследовательский университет "Высшая школа экономики"</t>
  </si>
  <si>
    <t>445600.07.01</t>
  </si>
  <si>
    <t>Говорите языком схем: Краткий справочник / В.Б.Исаков - М.:Юр.Норма, НИЦ ИНФРА-М,2021.-144 с.(О)</t>
  </si>
  <si>
    <t>ГОВОРИТЕ ЯЗЫКОМ СХЕМ</t>
  </si>
  <si>
    <t>978-5-91768-665-3</t>
  </si>
  <si>
    <t>694399.04.01</t>
  </si>
  <si>
    <t>Государственные кадастры и кадастровая оценка земель: Уч.пос. / В.В.Слезко - М.:НИЦ ИНФРА-М,2023 - 297 с.(СПО)(П)</t>
  </si>
  <si>
    <t>ГОСУДАРСТВЕННЫЕ КАДАСТРЫ И КАДАСТРОВАЯ ОЦЕНКА ЗЕМЕЛЬ</t>
  </si>
  <si>
    <t>Слезко В.В., Слезко Е.В., Слезко Л.В.</t>
  </si>
  <si>
    <t>978-5-16-015494-7</t>
  </si>
  <si>
    <t>21.02.05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</si>
  <si>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21.02.04 «Землеустройство» , 21.02.05 «Земельно-имущественные отношения» (протокол № 10 от 12.10.2020)</t>
  </si>
  <si>
    <t>Московский финансово-юридический университет</t>
  </si>
  <si>
    <t>705790.05.01</t>
  </si>
  <si>
    <t>Динамическая оптимизация: поиск абсолют. экстремума: Моногр. / Е.Н.Орёл-2 изд.-М.:НИЦ ИНФРА-М,2024.-192 с.(о)</t>
  </si>
  <si>
    <t>ДИНАМИЧЕСКАЯ ОПТИМИЗАЦИЯ: ПОИСК АБСОЛЮТНОГО ЭКСТРЕМУМА, ИЗД.2</t>
  </si>
  <si>
    <t>Орёл Е.Н., Орёл О.Е.</t>
  </si>
  <si>
    <t>Научная мысль - Финансовый университет</t>
  </si>
  <si>
    <t>978-5-16-018768-6</t>
  </si>
  <si>
    <t>01.03.04, 01.04.04, 01.04.01, 01.04.02, 01.05.01, 01.03.01, 01.03.02</t>
  </si>
  <si>
    <t>Финансовый университет при Правительстве Российской Федерации</t>
  </si>
  <si>
    <t>Октябрь, 2023</t>
  </si>
  <si>
    <t>705790.04.01</t>
  </si>
  <si>
    <t>Динамическая оптимизация: поиск абсолютного экстремума: Моногр. / Е.Н.Орёл-М.:НИЦ ИНФРА-М,2023-163 с(О)</t>
  </si>
  <si>
    <t>ДИНАМИЧЕСКАЯ ОПТИМИЗАЦИЯ: ПОИСК АБСОЛЮТНОГО ЭКСТРЕМУМА</t>
  </si>
  <si>
    <t>978-5-16-016233-1</t>
  </si>
  <si>
    <t>720207.03.01</t>
  </si>
  <si>
    <t>Дискретная математика. Задачи и упр..: Уч.мет.пос. / А.А.Вороненко, - 2 изд.-М.:НИЦ ИНФРА-М,2024.-105 с.(о)</t>
  </si>
  <si>
    <t>ДИСКРЕТНАЯ МАТЕМАТИКА. ЗАДАЧИ И УПРАЖНЕНИЯ С РЕШЕНИЯМИ, ИЗД.2</t>
  </si>
  <si>
    <t>Вороненко А.А., Федорова В.С.</t>
  </si>
  <si>
    <t>978-5-16-015671-2</t>
  </si>
  <si>
    <t>Учебно-методическое пособие</t>
  </si>
  <si>
    <t>09.02.01, 09.02.05, 09.02.06, 09.02.07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</si>
  <si>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17 от 11.11.2019)</t>
  </si>
  <si>
    <t>431450.11.01</t>
  </si>
  <si>
    <t>Дискретная математика. Задачи...: Уч.мет.пос. / А.А.Вороненко, - 2 изд., -М.:ИНФРА-М,2024-105с(ВО)(о)</t>
  </si>
  <si>
    <t>978-5-16-019192-8</t>
  </si>
  <si>
    <t>02.03.02, 01.03.02</t>
  </si>
  <si>
    <t>Допущено УМО по классическому университетскому образованию в качестве учебного пособия для студентов высших учебных заведений, обучающихся по направлениям подготовки 01.03.02 «Прикладная математика и информатика» и 02.03.02 «Фундаментальная информатика и информационные технологии»</t>
  </si>
  <si>
    <t>Август, 2023</t>
  </si>
  <si>
    <t>431450.10.01</t>
  </si>
  <si>
    <t>Дискретная математика. Задачи...: Уч.-метод. пос./А.А.Вороненко - М.: НИЦ ИНФРА-М, 2022-104с.(ВО) (О)</t>
  </si>
  <si>
    <t>ДИСКРЕТНАЯ МАТЕМАТИКА. ЗАДАЧИ И УПРАЖНЕНИЯ С РЕШЕНИЯМИ</t>
  </si>
  <si>
    <t>Вороненко А. А., Федорова В. С.</t>
  </si>
  <si>
    <t>978-5-16-006601-1</t>
  </si>
  <si>
    <t>Допущено У МО по классическому университетскому образованию в качестве учебного пособия для студентов высших учебных заведении, обучающихся по направлениям В ПО 010400 «Прикладная математика и информатика» и 010300 «Фундаментальная информатика и инфо</t>
  </si>
  <si>
    <t>646565.05.01</t>
  </si>
  <si>
    <t>Дискретная математика. Сборник задач: Уч.пос. / А.И.Гусева и др.-М.:КУРС, НИЦ ИНФРА-М,2021-224с(П)</t>
  </si>
  <si>
    <t>ДИСКРЕТНАЯ МАТЕМАТИКА. СБОРНИК ЗАДАЧ</t>
  </si>
  <si>
    <t>Гусева А.И., Киреев В.С., Тихомирова А.Н.</t>
  </si>
  <si>
    <t>978-5-906818-72-0</t>
  </si>
  <si>
    <t>09.02.01, 09.02.05, 09.03.03</t>
  </si>
  <si>
    <t>Национальный исследовательский ядерный университет "МИФИ"</t>
  </si>
  <si>
    <t>438200.09.01</t>
  </si>
  <si>
    <t>Дискретная математика. Углуб. курс: Уч. / Под ред. Чечкина А.В.-М.:КУРС, НИЦ ИНФРА-М,2019-278с.(П)</t>
  </si>
  <si>
    <t>ДИСКРЕТНАЯ МАТЕМАТИКА. УГЛУБЛЕННЫЙ КУРС</t>
  </si>
  <si>
    <t>Соболева Т.С., Чечкин А.В.</t>
  </si>
  <si>
    <t>978-5-906818-11-9</t>
  </si>
  <si>
    <t>01.03.04, 09.03.01, 11.03.02, 10.03.01, 09.03.03</t>
  </si>
  <si>
    <t>690569.02.01</t>
  </si>
  <si>
    <t>Дискретная математика: прикладные методы..: Уч.пос. / Н.И.Гданский-М.:НИЦ ИНФРА-М,2023.-466 с.(ВО)(П)</t>
  </si>
  <si>
    <t>ДИСКРЕТНАЯ МАТЕМАТИКА: ПРИКЛАДНЫЕ МЕТОДЫ ТЕОРИИ МНОЖЕСТВ, ПОДСЧЕТА И ПРЕДСТАВЛЕНИЯ ИНФОРМАЦИИ И МАТЕМАТИЧЕСКОЙ ЛОГИКИ</t>
  </si>
  <si>
    <t>Гданский Н.И.</t>
  </si>
  <si>
    <t>978-5-16-018854-6</t>
  </si>
  <si>
    <t>02.03.02, 04.03.02, 02.03.03, 03.03.02, 09.03.04, 11.03.02, 12.03.03, 12.03.04, 15.03.06, 10.05.04, 01.05.01, 06.05.01, 10.05.01, 10.05.03, 10.05.05, 10.05.02, 21.05.04, 14.05.02, 24.05.06, 11.05.01, 27.05.01, 01.03.01, 01.03.02, 09.03.03, 45.03.04, 14.05.04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</si>
  <si>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укрупненной группе специальностей и направлений подготовки 09.03.00 «Информатика и вычислительная техника» (квалификация (степень) «бакалавр») (протокол № 5 от 11.05.2022)</t>
  </si>
  <si>
    <t>646563.06.01</t>
  </si>
  <si>
    <t>Дискретная математика: Уч. / А.И.Гусева - М.:КУРС, НИЦ ИНФРА-М,2022 - 208 с.-(СПО)(П)</t>
  </si>
  <si>
    <t>ДИСКРЕТНАЯ МАТЕМАТИКА</t>
  </si>
  <si>
    <t>978-5-906818-21-8</t>
  </si>
  <si>
    <t>179850.12.01</t>
  </si>
  <si>
    <t>Дискретная математика: Уч. / В.Б.Алексеев - М.:НИЦ ИНФРА-М,2023 - 133 с.(ВО)(П)</t>
  </si>
  <si>
    <t>Алексеев В.Б.</t>
  </si>
  <si>
    <t>978-5-16-018503-3</t>
  </si>
  <si>
    <t>02.03.02, 04.03.02, 02.03.03, 03.03.01, 03.03.02, 03.03.03, 01.03.03, 02.04.03, 01.04.01, 02.04.01, 02.04.02, 01.04.02, 03.04.01, 04.04.01, 03.04.02, 04.04.02, 03.04.03, 01.04.03, 01.03.01, 02.03.01, 01.03.02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</si>
  <si>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укрупненной группе специальностей 01.00.00 «Математика и механика» (квалификация (степень) «бакалавр») (протокол № 9 от 28.09.2020)</t>
  </si>
  <si>
    <t>720240.01.01</t>
  </si>
  <si>
    <t>Дискретная математика: Уч.пос. / В.В.Куликов - М.:ИЦ РИОР, НИЦ ИНФРА-М,2020 - 174 с.-(СПО)(П)</t>
  </si>
  <si>
    <t>Куликов В.В.</t>
  </si>
  <si>
    <t>978-5-369-01826-2</t>
  </si>
  <si>
    <t>652698.02.01</t>
  </si>
  <si>
    <t>Дискретная математика: Уч.пос. / В.Е.Ходаков-М.:НИЦ ИНФРА-М,2020.-542 с..-(ВО: Бакалавриат) (П)</t>
  </si>
  <si>
    <t>Ходаков В.Е., Соколова Н.А.</t>
  </si>
  <si>
    <t>978-5-16-013184-9</t>
  </si>
  <si>
    <t>02.03.02, 04.03.02, 02.03.03, 03.03.02, 09.03.04, 11.03.02, 02.04.03, 21.05.04, 01.03.02, 09.03.03, 45.03.04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</si>
  <si>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техническим направлениям подготовки (квалификация (степень) «бакалавр») (протокол № 9 от 13.05.2019)</t>
  </si>
  <si>
    <t>079850.15.01</t>
  </si>
  <si>
    <t>Дискретная математика: Уч.пос. / С.А.Канцедал - М.:ИД Форум, НИЦ ИНФРА-М,2022 - 222 с.(СПО)(П)</t>
  </si>
  <si>
    <t>Канцедал С. А.</t>
  </si>
  <si>
    <t>978-5-8199-0719-1</t>
  </si>
  <si>
    <t>09.02.02, 09.02.01, 09.02.03, 09.02.04, 09.02.05, 10.02.02, 10.02.03, 10.02.01, 15.02.10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</si>
  <si>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</si>
  <si>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084180.08.01</t>
  </si>
  <si>
    <t>Дискретная математика: Учебное пособие / В.В. Куликов. - М.: РИОР, 2020. - 174 с.- (Высшее обр.) (п)</t>
  </si>
  <si>
    <t>Куликов В. В.</t>
  </si>
  <si>
    <t>978-5-369-00205-6</t>
  </si>
  <si>
    <t>02.03.02, 04.03.02, 02.03.03, 03.03.02, 01.03.04, 09.03.04, 11.03.02, 02.04.03, 01.03.01, 02.03.01, 01.03.02, 09.03.03, 45.03.04</t>
  </si>
  <si>
    <t>Рек. УМО по обр. в обл. телекоммун.  в кач-ве уч. пос. для студ. вузов, обуч. по спец. Физика и техн. оптич. связи, 201000 Многокан. телеком. сист., 201100 Радиосвязь, радиовещ. и телев., 201200 Ср-ва связи с подвиж. объект., 201300 Защищ. сист. связ</t>
  </si>
  <si>
    <t>437250.08.01</t>
  </si>
  <si>
    <t>Диссертация в зеркале автореферата: Метод. пос. для.../ В.М.Аникин-3 изд.-М.:НИЦ ИНФРА-М,2024-128с(о)</t>
  </si>
  <si>
    <t>ДИССЕРТАЦИЯ В ЗЕРКАЛЕ АВТОРЕФЕРАТА, ИЗД.3</t>
  </si>
  <si>
    <t>Аникин В. М., Усанов Д. А.</t>
  </si>
  <si>
    <t>Менеджмент в науке</t>
  </si>
  <si>
    <t>978-5-16-006722-3</t>
  </si>
  <si>
    <t>Методическое пособие</t>
  </si>
  <si>
    <t>Профессиональное образование / ВО - Кадры высшей квалификации / Аспирантура</t>
  </si>
  <si>
    <t>01.04.04, 01.04.01, 01.04.02, 03.04.01, 04.04.01, 03.04.02, 04.04.02, 03.04.03, 01.04.03, 06.04.01, 05.04.01, 05.04.02, 05.04.03, 05.04.04, 05.04.05, 06.04.02, 05.04.06, 01.06.01, 03.06.01, 04.06.01, 05.06.01, 06.06.01, 12.06.01, 04.07.01, 06.07.01</t>
  </si>
  <si>
    <t>0313</t>
  </si>
  <si>
    <t>026850.23.01</t>
  </si>
  <si>
    <t>Диссертация и ученая степень: Науч.-прак. пос. / Б.А.Райзберг - 11 изд. - М.:НИЦ ИНФРА-М,2023 - 253 с.(П)</t>
  </si>
  <si>
    <t>ДИССЕРТАЦИЯ И УЧЕНАЯ СТЕПЕНЬ, ИЗД.11</t>
  </si>
  <si>
    <t>Райзберг Б. А.</t>
  </si>
  <si>
    <t>978-5-16-017457-0</t>
  </si>
  <si>
    <t>Научно-практическое пособие</t>
  </si>
  <si>
    <t>22.04.02, 01.06.01, 02.06.01, 03.06.01, 04.06.01, 05.06.01, 06.06.01, 07.06.01, 08.06.01, 09.06.01, 10.06.01, 11.06.01, 12.06.01, 13.06.01, 14.06.01, 15.06.01, 16.06.01, 17.06.01, 18.06.01, 19.06.01, 20.06.01, 21.06.01, 21.06.02, 22.06.01, 23.06.01, 24.06.01, 25.06.01, 26.06.01, 27.06.01, 28.06.01, 29.06.01, 30.06.01, 31.06.01, 32.06.01, 33.06.01, 35.06.01, 35.06.02, 35.06.03, 35.06.04, 36.06.01, 37.06.01, 38.06.01, 39.06.01, 40.06.01, 41.06.01, 42.06.01, 44.06.01, 45.06.01, 46.06.01, 47.06.01, 48.06.01, 49.06.01, 50.06.01, 51.06.01, 02.07.01, 04.07.01, 06.07.01, 07.07.01, 20.07.01, 30.07.01, 31.07.01, 32.07.01, 33.07.01, 38.07.02, 39.07.01, 41.07.01, 44.07.01, 44.07.02, 45.07.01, 47.07.01, 49.07.01, 50.07.01, 31.08.01, 31.08.02, 31.08.03, 31.08.04, 31.08.05, 31.08.06, 31.08.07, 31.08.08, 31.08.09, 31.08.10, 31.08.11, 31.08.12, 31.08.13, 31.08.14, 31.08.15, 31.08.16, 31.08.17, 31.08.18, 31.08.19, 31.08.20, 31.08.21, 31.08.22, 31.08.23, 31.08.24, 31.08.25, 31.08.26, 31.08.27, 31.08.28, 31.08.29, 31.08.30, 31.08.31, 31.08.32, 31.08.33, 31.08.34, 31.08.35, 31.08.36, 31.08.37, 31.08.38, 31.08.39, 31.08.40, 31.08.41, 31.08.42, 31.08.43, 31.08.44, 31.08.45, 31.08.46, 31.08.47, 31.08.48, 31.08.49, 31.08.50, 31.08.51, 31.08.52, 31.08.53, 31.08.54, 31.08.55, 31.08.56, 31.08.57, 31.08.58, 31.08.59, 31.08.60, 31.08.61, 31.08.62, 31.08.63, 31.08.64, 31.08.65, 31.08.66, 31.08.67, 31.08.68, 31.08.69, 31.08.70, 31.08.71, 31.08.72, 31.08.73, 31.08.74, 31.08.75, 31.08.76, 31.08.77, 32.08.01, 32.08.02, 32.08.03, 32.08.04, 32.08.05, 32.08.06, 32.08.07, 32.08.08, 32.08.09, 32.08.10, 32.08.11, 32.08.12, 32.08.13, 32.08.14, 33.08.01, 33.08.02, 33.08.03, 07.09.01, 07.09.02, 07.09.03, 07.09.04, 52.09.01, 52.09.02, 52.09.03, 52.09.04, 52.09.05, 52.09.06, 52.09.07, 52.09.08, 53.09.01, 53.09.02, 53.09.03, 53.09.04, 53.09.05, 54.09.01, 54.09.02, 54.09.03, 54.09.04, 54.09.05, 54.09.06, 54.09.07, 55.09.01, 55.09.02, 55.09.03</t>
  </si>
  <si>
    <t>Московская Школа Экономики</t>
  </si>
  <si>
    <t>1112</t>
  </si>
  <si>
    <t>670752.03.01</t>
  </si>
  <si>
    <t>Диссипативные структуры в тонких нанокристал..: Моногр./Л.И.Квеглис-М.:НИЦ ИНФРА-М,СФУ,2023-203с(о)</t>
  </si>
  <si>
    <t>ДИССИПАТИВНЫЕ СТРУКТУРЫ В ТОНКИХ НАНОКРИСТАЛЛИЧЕСКИХ ПЛЕНКАХ</t>
  </si>
  <si>
    <t>Квеглис Л.И., Кашкин В.Б., Шабанов В.Ф.</t>
  </si>
  <si>
    <t>Научная мысль (СФУ)</t>
  </si>
  <si>
    <t>978-5-16-018188-2</t>
  </si>
  <si>
    <t>03.04.02, 22.04.01, 03.06.01, 22.06.01</t>
  </si>
  <si>
    <t>479200.04.01</t>
  </si>
  <si>
    <t>Дифракционный анализ деформир.металлов: Моногр./ Ф.Ф.Сатдарова-М: ИЦ РИОР,НИЦ ИНФРА-М, 2023-204с (о)</t>
  </si>
  <si>
    <t>ДИФРАКЦИОННЫЙ АНАЛИЗ ДЕФОРМИРОВАННЫХ МЕТАЛЛОВ: ТЕОРИЯ, МЕТОДИКА, ПРОГРАММНОЕ ОБЕСПЕЧЕНИЕ</t>
  </si>
  <si>
    <t>Сатдарова Ф.Ф.</t>
  </si>
  <si>
    <t>978-5-369-01527-8</t>
  </si>
  <si>
    <t>04.03.02, 22.03.02</t>
  </si>
  <si>
    <t>Национальный Исследовательский Технологический Университет "МИСИС"</t>
  </si>
  <si>
    <t>726281.03.01</t>
  </si>
  <si>
    <t>Дифференциальные урав. в примерах и задачах: Уч.пос. / Г.С.Жукова-М.:НИЦ ИНФРА-М,2023.-348 с.(ВО)(П)</t>
  </si>
  <si>
    <t>ДИФФЕРЕНЦИАЛЬНЫЕ УРАВНЕНИЯ В ПРИМЕРАХ И ЗАДАЧАХ</t>
  </si>
  <si>
    <t>Жукова Г.С.</t>
  </si>
  <si>
    <t>978-5-16-015971-3</t>
  </si>
  <si>
    <t>02.03.02, 02.03.03, 03.03.02, 03.03.03, 01.03.03, 01.03.04, 01.03.01, 02.03.01, 01.03.02</t>
  </si>
  <si>
    <t>Рекомендовано Учебно-методическим объединением по образованию в области химической технологии и биотехнологии в качестве учебного пособия для студентов высших учебных заведений, обучающихся по химико-технологическим направлениям и биотехнологии</t>
  </si>
  <si>
    <t>728009.01.01</t>
  </si>
  <si>
    <t>Дифференциальные уравнения: Уч. / Г.С.Жукова - М.:НИЦ ИНФРА-М,2020 - 504 с.(ВО: Бакалавриат)(П)</t>
  </si>
  <si>
    <t>ДИФФЕРЕНЦИАЛЬНЫЕ УРАВНЕНИЯ</t>
  </si>
  <si>
    <t>978-5-16-015970-6</t>
  </si>
  <si>
    <t>04.03.02</t>
  </si>
  <si>
    <t>Рекомендовано Учебно-методическим объединением вузов России по образованию в области химической технологии и биотехнологии в качестве учебного пособия для студентов высших учебных заведений, обучающихся по химико-технологическим направлениям и биотехнологии</t>
  </si>
  <si>
    <t>409850.06.01</t>
  </si>
  <si>
    <t>Задачи по теории функций и функц. анализу с реш.: Уч.пос./ Т.А.Леонтьева-М:НИЦ ИНФРА-М,2020-164с(ВО)</t>
  </si>
  <si>
    <t>ЗАДАЧИ ПО ТЕОРИИ ФУНКЦИЙ И ФУНКЦИОНАЛЬНОМУ АНАЛИЗУ С РЕШЕНИЯМИ</t>
  </si>
  <si>
    <t>Леонтьева Т.А., Домрина А.В.</t>
  </si>
  <si>
    <t>978-5-16-006429-1</t>
  </si>
  <si>
    <t>02.03.02, 04.03.02, 02.03.03, 03.03.01, 03.03.02, 03.03.03, 01.03.03, 01.03.04, 09.03.01, 09.03.04, 09.03.02, 11.03.01, 11.03.04, 12.03.03, 12.03.04, 12.03.01, 12.03.02, 12.03.05, 13.03.02, 14.03.02, 13.03.03, 16.03.03, 14.03.01, 16.03.01, 16.03.02, 13.03.01, 02.04.03, 14.04.02, 01.04.04, 01.04.01, 02.04.01, 02.04.02, 01.04.02, 03.04.01, 03.04.02, 03.04.03, 01.04.03, 09.04.03, 13.04.01, 13.04.02, 16.04.02, 14.04.01, 16.04.01, 13.04.03, 12.04.01, 12.04.02, 12.04.05, 12.04.04, 12.04.03, 11.04.04, 11.04.03, 11.04.01, 11.04.02, 09.04.01, 09.04.02, 01.05.01, 03.05.01, 14.05.01, 14.05.03, 14.05.02, 12.05.01, 11.05.01, 11.05.02, 01.03.01, 02.03.01, 01.03.02, 09.03.03, 11.05.04, 13.05.01, 13.05.02, 14.05.04</t>
  </si>
  <si>
    <t>Рекомендовано в качестве учебного пособия для студентов высших учебных заведений, обучающихся по направлению подготовки "Физико-математические науки», а также технических и педагогических вузов</t>
  </si>
  <si>
    <t>472450.12.01</t>
  </si>
  <si>
    <t>Задачник по высшей математике: Уч.пос. / В.С.Шипачев - 10 изд.,стер. - М.:НИЦ ИНФРА-М,2023-304с-(ВО)(П)</t>
  </si>
  <si>
    <t>ЗАДАЧНИК ПО ВЫСШЕЙ МАТЕМАТИКЕ, ИЗД.10</t>
  </si>
  <si>
    <t>Шипачев В. С.</t>
  </si>
  <si>
    <t>978-5-16-010071-5</t>
  </si>
  <si>
    <t>Допущено Министерством образования и науки Российской Федерации в качестве учебного пособия для студентов высших учебных заведений</t>
  </si>
  <si>
    <t>1015</t>
  </si>
  <si>
    <t>427900.11.01</t>
  </si>
  <si>
    <t>Защита и безопасность в чрезвыч. ситуац.:Уч.пос. / В.И.Жуков-М.:НИЦ ИНФРА-М, СФУ,2023-392с(ВО)(П)</t>
  </si>
  <si>
    <t>ЗАЩИТА И БЕЗОПАСНОСТЬ В ЧРЕЗВЫЧАЙНЫХ СИТУАЦИЯХ</t>
  </si>
  <si>
    <t>Жуков В. И., Горбунова Л. Н.</t>
  </si>
  <si>
    <t>978-5-16-018091-5</t>
  </si>
  <si>
    <t>15.03.02, 15.03.03, 15.03.04, 15.03.05, 23.05.05, 23.05.04, 23.05.06, 08.05.03, 23.03.01, 23.03.02, 23.03.03, 25.03.04, 08.05.02</t>
  </si>
  <si>
    <t>Допущено УМО вузов РФ по образованию в области железнодорожного транспорта и транспортного строительства в качестве учебного пособия для студентов вузов, обучающихся по специальности «Автомобильные дороги и аэродромы» направления подготовки «Транспортное строительство» и направлению подготовки бакалавров «Строительство» с профилем подготовки «Автомобильные дороги и аэродромы»</t>
  </si>
  <si>
    <t>436500.09.01</t>
  </si>
  <si>
    <t>Защита окр.среды от пром.газ.выбросов: Уч.пос. / М.И.Клюшенкова-М.:НИЦ ИНФРА-М,2023.-142с(ВО)(о)</t>
  </si>
  <si>
    <t>ЗАЩИТА ОКРУЖАЮЩЕЙ СРЕДЫ ОТ ПРОМЫШЛЕННЫХ ГАЗОВЫХ ВЫБРОСОВ</t>
  </si>
  <si>
    <t>Клюшенкова М.И., Луканин А.В.</t>
  </si>
  <si>
    <t>978-5-16-011331-9</t>
  </si>
  <si>
    <t>20.03.01, 20.04.01, 20.06.01, 44.03.05</t>
  </si>
  <si>
    <t>Рекомендовано в качестве учебного пособия для студентов высших учебных заведений, обучающихся по направлению подготовки 20.03.01 «Техносферная безопасность» (квалификация (степень) «бакалавр»)</t>
  </si>
  <si>
    <t>757841.03.01</t>
  </si>
  <si>
    <t>Защита окружающей среды от промыш. газ. выбр.: Уч.пос. / М.И.Клюшенкова-М.:НИЦ ИНФРА-М,2023.-142 с.(П)</t>
  </si>
  <si>
    <t>978-5-16-016927-9</t>
  </si>
  <si>
    <t>19.01.02, 18.02.09, 18.02.10, 19.02.01, 20.02.03, 20.02.04, 20.02.02, 20.02.01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</si>
  <si>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20.02.00 «Техносферная безопасность и природообустройство» (протокол № 11 от 09.11.2020)</t>
  </si>
  <si>
    <t>682864.01.01</t>
  </si>
  <si>
    <t>Землеустройство и управление землепользованием: Уч.пос. / В.В.Слезко -М.:НИЦ ИНФРА-М,2018-203с(СПО)</t>
  </si>
  <si>
    <t>ЗЕМЛЕУСТРОЙСТВО И УПРАВЛЕНИЕ ЗЕМЛЕПОЛЬЗОВАНИЕМ</t>
  </si>
  <si>
    <t>978-5-16-013916-6</t>
  </si>
  <si>
    <t>21.02.04, 21.02.06, 21.02.05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</si>
  <si>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отношения»,  21.02.06 «Информационные системы обеспечения градостроительной деятельности»</t>
  </si>
  <si>
    <t>416700.07.01</t>
  </si>
  <si>
    <t>Зоология с основами экологии: Уч. пос. / Л.Н.Ердаков - М.:НИЦ ИНФРА-М,2023.-223 с-(ВО.Бакалавр.)(п)</t>
  </si>
  <si>
    <t>ЗООЛОГИЯ С ОСНОВАМИ ЭКОЛОГИИ</t>
  </si>
  <si>
    <t>Ердаков Л.Н.</t>
  </si>
  <si>
    <t>978-5-16-006246-4</t>
  </si>
  <si>
    <t>36.03.02, 35.03.08, 44.03.01, 44.03.05, 44.03.04</t>
  </si>
  <si>
    <t>Институт систематики и экологии животных Сибирского отделения Российской Академии Наук</t>
  </si>
  <si>
    <t>682865.03.01</t>
  </si>
  <si>
    <t>Зоология с основами экологии: Уч.пос. / Л.Н.Ердаков - М.:НИЦ ИНФРА-М,2024 - 223 с.-(СПО)(П)</t>
  </si>
  <si>
    <t>978-5-16-013917-3</t>
  </si>
  <si>
    <t>44.02.01, 44.02.02, 44.02.03</t>
  </si>
  <si>
    <t>Рекомендовано Учебно-методическим советом СПО в качестве 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44.02.06 «Профессиональное обучение (по отраслям)»</t>
  </si>
  <si>
    <t>684717.02.01</t>
  </si>
  <si>
    <t>Игровые модели для экономических задач: Уч.пос. / В.П.Невежин - М.:НИЦ ИНФРА-М,2022 - 195 с.(ВО)(П)</t>
  </si>
  <si>
    <t>ИГРОВЫЕ МОДЕЛИ ДЛЯ ЭКОНОМИЧЕСКИХ ЗАДАЧ</t>
  </si>
  <si>
    <t>Невежин В.П., Богомолов А.И.</t>
  </si>
  <si>
    <t>978-5-16-015007-9</t>
  </si>
  <si>
    <t>38.03.01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</si>
  <si>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 (протокол № 5 от 11.03.2019)</t>
  </si>
  <si>
    <t>681852.05.01</t>
  </si>
  <si>
    <t>Изменение сост. и структуры компонентов ландшаф... / В.С.Груздев, - 2 изд.-М.:НИЦ ИНФРА-М,2023.-180 с.(о)</t>
  </si>
  <si>
    <t>ИЗМЕНЕНИЕ СОСТАВА И СТРУКТУРЫ КОМПОНЕНТОВ ЛАНДШАФТОВ ЛЕСНОЙ ЗОНЫ В УСЛОВИЯХ ТЕХНОГЕНЕЗА, ИЗД.2</t>
  </si>
  <si>
    <t>Груздев В.С., Суслов С.В.</t>
  </si>
  <si>
    <t>978-5-16-017382-5</t>
  </si>
  <si>
    <t>05.03.03, 05.03.04, 05.03.06, 35.03.03, 05.04.03, 05.04.04, 05.04.06, 35.04.03, 35.03.05</t>
  </si>
  <si>
    <t>681852.04.01</t>
  </si>
  <si>
    <t>Изменение сост.и структуры компонентов ландшаф...: Моногр. / В.С.Груздев - М.:НИЦ ИНФРА-М,2022-177с(О)</t>
  </si>
  <si>
    <t>ИЗМЕНЕНИЕ СОСТАВА И СТРУКТУРЫ КОМПОНЕНТОВ ЛАНДШАФТОВ ЛЕСНОЙ ЗОНЫ В УСЛОВИЯХ ТЕХНОГЕНЕЗА</t>
  </si>
  <si>
    <t>Груздев В.С., Груздева Л.П., Суслов С.В.</t>
  </si>
  <si>
    <t>978-5-16-014022-3</t>
  </si>
  <si>
    <t>684822.02.01</t>
  </si>
  <si>
    <t>Имитационные модели принятия решений: Уч.пос. / И.В.Трегуб - М.:НИЦ ИНФРА-М,2022 - 193 с.-(ВО)(П)</t>
  </si>
  <si>
    <t>ИМИТАЦИОННЫЕ МОДЕЛИ ПРИНЯТИЯ РЕШЕНИЙ</t>
  </si>
  <si>
    <t>Трегуб И.В., Горошникова Т.А.</t>
  </si>
  <si>
    <t>Высшее образование: Магистратура (Финуниверситет)</t>
  </si>
  <si>
    <t>978-5-16-015393-3</t>
  </si>
  <si>
    <t>02.03.02, 02.03.03, 09.03.01, 09.03.04, 09.03.02, 01.04.02, 09.04.02, 02.03.01, 09.03.03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</si>
  <si>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09.04.03 «Прикладная информатика», 01.04.02 «Прикладная математика и информатика» (квалификация (степень) «магистр») (протокол № 18 от 25.11.2019)</t>
  </si>
  <si>
    <t>682870.07.01</t>
  </si>
  <si>
    <t>Инженерная геодезия: Уч./ Г.А.Федотов - 6 изд. - М.:НИЦ ИНФРА-М,2023 - 479 с.(СПО)(П)</t>
  </si>
  <si>
    <t>ИНЖЕНЕРНАЯ ГЕОДЕЗИЯ, ИЗД.6</t>
  </si>
  <si>
    <t>Федотов Г.А.</t>
  </si>
  <si>
    <t>978-5-16-013920-3</t>
  </si>
  <si>
    <t>08.02.01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</si>
  <si>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08.02.02 «Строительство и эксплуатация инженерных сооружений», 08.02.05 «Строительство и эксплуатация автомобильных дорог и аэродромов», 08.02.06 «Строительство и эксплуатация городских путей сообщения»</t>
  </si>
  <si>
    <t>Московский автомобильно-дорожный государственный технический университет</t>
  </si>
  <si>
    <t>52</t>
  </si>
  <si>
    <t>0618</t>
  </si>
  <si>
    <t>757843.02.01</t>
  </si>
  <si>
    <t>Инженерная экология...: Уч.пос. / А.В.Луканин - М.:НИЦ ИНФРА-М,2022 - 605 с.(П)</t>
  </si>
  <si>
    <t>ИНЖЕНЕРНАЯ ЭКОЛОГИЯ: ПРОЦЕССЫ И АППАРАТЫ ОЧИСТКИ СТОЧНЫХ ВОД И ПЕРЕРАБОТКИ ОСАДКОВ</t>
  </si>
  <si>
    <t>Луканин А.В.</t>
  </si>
  <si>
    <t>978-5-16-016929-3</t>
  </si>
  <si>
    <t>19.02.01, 08.02.04, 20.02.03, 20.02.01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</si>
  <si>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19.02.01 «Биохимическое производство», 20.02.01 «Рациональное использование природохозяйственных комплексов», 20.02.03 «Природоохранное обустройство территорий» (протокол № 11 от 09.11.2020)</t>
  </si>
  <si>
    <t>Российский университет дружбы народов</t>
  </si>
  <si>
    <t>653104.06.01</t>
  </si>
  <si>
    <t>Инженерная экология: защита литосферы от..: Уч.пос. / А.В.Луканин-М.:НИЦ ИНФРА-М,2023-556с(ВО)(П)</t>
  </si>
  <si>
    <t>ИНЖЕНЕРНАЯ ЭКОЛОГИЯ: ЗАЩИТА ЛИТОСФЕРЫ ОТ ТВЕРДЫХ ПРОМЫШЛЕННЫХ И БЫТОВЫХ ОТХОДОВ</t>
  </si>
  <si>
    <t>978-5-16-012760-6</t>
  </si>
  <si>
    <t>05.03.06, 20.03.01, 20.03.02, 05.04.06, 20.04.01, 20.04.02</t>
  </si>
  <si>
    <t>Рекомендовано в качестве учебного пособия для студентов высших учебных заведений, обучающихся по направлениям подготовки 20.03.01 «Техносферная безопасность», 05.03.06 «Экология и природопользование» (квалификация (степень) «бакалавр»)</t>
  </si>
  <si>
    <t>640795.05.01</t>
  </si>
  <si>
    <t>Инженерная экология: процессы и аппараты очистки...: Уч.пос. / А.В.Луканин - М.:НИЦ ИНФРА-М,2022 - 523 с.(ВО)(П)</t>
  </si>
  <si>
    <t>ИНЖЕНЕРНАЯ ЭКОЛОГИЯ: ПРОЦЕССЫ И АППАРАТЫ ОЧИСТКИ ГАЗОВОЗДУШНЫХ ВЫБРОСОВ</t>
  </si>
  <si>
    <t>978-5-16-012307-3</t>
  </si>
  <si>
    <t>05.03.06, 20.03.01, 18.03.02, 05.04.06, 13.04.01, 20.04.01</t>
  </si>
  <si>
    <t>Рекомендовано в качестве учебного пособия для студентов высших учебных заведений, обучающихся по направлениям подготовки 20.03.01 «Техносферная безопасность» (квалификация (степень) «бакалавр»)</t>
  </si>
  <si>
    <t>635885.04.01</t>
  </si>
  <si>
    <t>Инженерная экология: процессы...: Уч.пос. / А.В.Луканин - М.:НИЦ ИНФРА-М,2021 - 605 с.-(ВО)(П)</t>
  </si>
  <si>
    <t>978-5-16-012132-1</t>
  </si>
  <si>
    <t>19.00.00, 05.03.06, 20.03.01, 05.04.06, 20.04.01</t>
  </si>
  <si>
    <t>Рекомендовано в качестве учебного пособия для студентов высших учебных заведений, обучающихся по направлениям подготовки 20.03.01 «Техносферная безопасность», 05.03.06 «Экология и природопользование», 19.03.01 «Биотехнология» (квалификация (степень) «бакалавр»)</t>
  </si>
  <si>
    <t>488550.08.01</t>
  </si>
  <si>
    <t>Инженерно-геологический словарь / А.Д.Потапов - М.:НИЦ ИНФРА-М,2023 -336с.(Б-ка словарей ИНФРА-М)(п)</t>
  </si>
  <si>
    <t>ИНЖЕНЕРНО-ГЕОЛОГИЧЕСКИЙ СЛОВАРЬ</t>
  </si>
  <si>
    <t>Потапов А.Д., Ревелис И.Л., Чернышев С.Н.</t>
  </si>
  <si>
    <t>Библиотека словарей ИНФРА-М</t>
  </si>
  <si>
    <t>978-5-16-010692-2</t>
  </si>
  <si>
    <t>Словарь-справочник</t>
  </si>
  <si>
    <t>05.03.01, 08.03.01, 05.04.01, 08.04.01, 21.05.03, 21.05.02</t>
  </si>
  <si>
    <t>Национальный исследовательский Московский государственный строительный университет</t>
  </si>
  <si>
    <t>706348.03.01</t>
  </si>
  <si>
    <t>Информационно-сетевая география: Моногр. / В.И.Блануца-М.:НИЦ ИНФРА-М,2023.-243 с..-(Науч.мысль)(П)</t>
  </si>
  <si>
    <t>ИНФОРМАЦИОННО-СЕТЕВАЯ ГЕОГРАФИЯ</t>
  </si>
  <si>
    <t>Блануца В.И.</t>
  </si>
  <si>
    <t>978-5-16-015138-0</t>
  </si>
  <si>
    <t>05.04.02</t>
  </si>
  <si>
    <t>Институт географии им. В.Б. Сочавы Сибирского отделения Российской академии наук</t>
  </si>
  <si>
    <t>664768.05.01</t>
  </si>
  <si>
    <t>Информационные техн.в моделир.быстропротек.нелинейных проц.../ Гусев А.И.-М.:ИНФРА-М,2023-132с(О)</t>
  </si>
  <si>
    <t>ИНФОРМАЦИОННЫЕ ТЕХНОЛОГИИ В МОДЕЛИРОВАНИИ БЫСТРОПРОТЕКАЮЩИХ НЕЛИНЕЙНЫХ ПРОЦЕССОВ (НА ПРИМЕРЕ ВЗАИМОДЕЙСТВИЯ ПОРАЖАЮЩИХ ЭЛЕМЕНТОВ С БИОТКАНЬЮ)</t>
  </si>
  <si>
    <t>Гусев А.В., Шабанов Г.И., Родионов М.А.</t>
  </si>
  <si>
    <t>978-5-16-013251-8</t>
  </si>
  <si>
    <t>15.02.04, 15.05.01, 17.05.02</t>
  </si>
  <si>
    <t>Военная академия материально-технического обеспечения им. генерала армии А.В. Хрулёва, ф-л г. Пенза</t>
  </si>
  <si>
    <t>402450.06.01</t>
  </si>
  <si>
    <t>Ионизирующее излуч. в гидросфере.: Уч.пос. / В.Н.Кулепанов, - 2 изд.-М.:Форум, НИЦ ИНФРА-М,2023.-127 с.(ВО)(О)</t>
  </si>
  <si>
    <t>ИОНИЗИРУЮЩЕЕ ИЗЛУЧЕНИЕ В ГИДРОСФЕРЕ. ВВЕДЕНИЕ В РАДИОБИОЛОГИЮ И РАДИОЭКОЛОГИЮ ГИДРОБИОНТОВ, ИЗД.2</t>
  </si>
  <si>
    <t>Кулепанов В.Н.</t>
  </si>
  <si>
    <t>978-5-00091-673-5</t>
  </si>
  <si>
    <t>05.03.06, 20.03.01, 05.04.06, 20.04.01, 21.03.01</t>
  </si>
  <si>
    <t>Рекомендовано Дальневосточным региональным учебно-методическим центром в качестве учебного пособия для студентов направления подготовки «бакалавр» специальности «Техносферная безопасность» и «Нефтегазовое дело»</t>
  </si>
  <si>
    <t>Морской государственный университет им. адм. Г.И. Невельского</t>
  </si>
  <si>
    <t>0221</t>
  </si>
  <si>
    <t>402450.04.01</t>
  </si>
  <si>
    <t>Ионизирующее излучение в гидросфере...: Уч.пос. / В.Н.Кулепанов-М:Форум:НИЦ Инфра-М,2019-88с(ВО)(о)</t>
  </si>
  <si>
    <t>ИОНИЗИРУЮЩЕЕ ИЗЛУЧЕНИЕ В ГИДРОСФЕРЕ. ВВЕДЕНИЕ В РАДИОБИОЛОГИЮ И РАДИОЭКОЛОГИЮ ГИДРОБИОНТОВ</t>
  </si>
  <si>
    <t>Кулепанов В. Н.</t>
  </si>
  <si>
    <t>978-5-91134-690-4</t>
  </si>
  <si>
    <t>774792.01.01</t>
  </si>
  <si>
    <t>Исследование эконометрич. моделей: Сб. лаб. работ:: Уч.пос. / В.П.Невежин-М.:НИЦ ИНФРА-М,2023.-344 с.(ВО)</t>
  </si>
  <si>
    <t>ИССЛЕДОВАНИЕ ЭКОНОМЕТРИЧЕСКИХ МОДЕЛЕЙ: СБОРНИК ЛАБОРАТОРНЫХ РАБОТ</t>
  </si>
  <si>
    <t>Невежин В.П., Невежин Ю.В.</t>
  </si>
  <si>
    <t>Высшее образование (Финансовый университет)</t>
  </si>
  <si>
    <t>978-5-16-017828-8</t>
  </si>
  <si>
    <t>38.04.01, 38.03.01</t>
  </si>
  <si>
    <t>682950.08.01</t>
  </si>
  <si>
    <t>Кадастровая деятельность: Уч. / А.А.Варламов - 2 изд.,- М.:Форум, НИЦ ИНФРА-М,2023.-280 с..-(СПО)(П)</t>
  </si>
  <si>
    <t>КАДАСТРОВАЯ ДЕЯТЕЛЬНОСТЬ, ИЗД.2</t>
  </si>
  <si>
    <t>Варламов А.А., Гальченко С.А., Аврунев Е.И. и др.</t>
  </si>
  <si>
    <t>978-5-00091-576-9</t>
  </si>
  <si>
    <t>21.02.04, 21.02.06, 21.02.05, 05.02.01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</si>
  <si>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</t>
  </si>
  <si>
    <t>076300.16.01</t>
  </si>
  <si>
    <t>Как защитить свою диссертацию: Прак. пос. / С.Д.Резник, - 6-е изд.-М.:НИЦ ИНФРА-М,2023.-245 с.(П)</t>
  </si>
  <si>
    <t>КАК ЗАЩИТИТЬ СВОЮ ДИССЕРТАЦИЮ, ИЗД.6</t>
  </si>
  <si>
    <t>Резник С.Д.</t>
  </si>
  <si>
    <t>978-5-16-017143-2</t>
  </si>
  <si>
    <t>Практическое пособие</t>
  </si>
  <si>
    <t>00.04.16, 00.06.01</t>
  </si>
  <si>
    <t>Рекомендовано к изданию Советом Учебно-методического объединения вузов России по образованию в области менеджмента</t>
  </si>
  <si>
    <t>Пензенский государственный университет архитектуры и строительства</t>
  </si>
  <si>
    <t>0622</t>
  </si>
  <si>
    <t>076300.14.01</t>
  </si>
  <si>
    <t>Как защитить свою диссертацию: Практ. пос. / С.Д.Резник - 5 изд. - М.:НИЦ ИНФРА-М,2021 - 318 с.(П)</t>
  </si>
  <si>
    <t>КАК ЗАЩИТИТЬ СВОЮ ДИССЕРТАЦИЮ, ИЗД.5</t>
  </si>
  <si>
    <t>Резник С. Д.</t>
  </si>
  <si>
    <t>978-5-16-011105-6</t>
  </si>
  <si>
    <t>0516</t>
  </si>
  <si>
    <t>189650.15.01</t>
  </si>
  <si>
    <t>Как написать, оформ. и защ. выпуск. квалиф. работу: Уч.пос./В.П.Невежин-Форум,НИЦ ИНФРА-М,2024-112с.(О)</t>
  </si>
  <si>
    <t>КАК НАПИСАТЬ, ОФОРМИТЬ И ЗАЩИТИТЬ ВЫПУСКНУЮ КВАЛИФИКАЦИОННУЮ РАБОТУ</t>
  </si>
  <si>
    <t>Невежин В. П.</t>
  </si>
  <si>
    <t>978-5-00091-734-3</t>
  </si>
  <si>
    <t>00.03.16, 00.05.16, 00.04.16</t>
  </si>
  <si>
    <t>Рекомендовано Финансовым университетом при Правительстве Российской Федерации в качестве учебного пособия для студентов, обучающихся по направлению подготовки бакалавров, дипломированных специалистов и магистров</t>
  </si>
  <si>
    <t>374900.04.01</t>
  </si>
  <si>
    <t>Как подготовить выпуск. квалиф..: Уч.пос. / Под ред. Фокина В.А.-М.:Форум, НИЦ ИНФРА-М,2020-51с.(О)</t>
  </si>
  <si>
    <t>КАК ПОДГОТОВИТЬ ВЫПУСКНУЮ КВАЛИФИКАЦИОННУЮ РАБОТУ БАКАЛАВРАМ СОЦИАЛЬНОЙ РАБОТЫ</t>
  </si>
  <si>
    <t>В.А.Фокин, В.В.Соломатова, Л.М.Горячева</t>
  </si>
  <si>
    <t>978-5-00091-093-1</t>
  </si>
  <si>
    <t>00.03.16, 00.05.16, 00.04.16, 39.03.02</t>
  </si>
  <si>
    <t>Тульский государственный педагогический университет им. Л.Н. Толстого</t>
  </si>
  <si>
    <t>708359.07.01</t>
  </si>
  <si>
    <t>Картография и ГИС: Уч.пос. / В.П.Раклов - 3 изд. - М.:НИЦ ИНФРА-М,2023 - 215 с.(ВО: Бакалавр.)(П)</t>
  </si>
  <si>
    <t>КАРТОГРАФИЯ И ГИС, ИЗД.3</t>
  </si>
  <si>
    <t>978-5-16-015289-9</t>
  </si>
  <si>
    <t>21.02.08, 21.02.11, 21.02.12, 21.02.13, 21.02.09, 21.02.10, 21.02.14, 21.02.15, 21.02.17, 21.02.18, 21.02.16, 21.03.02, 44.03.05</t>
  </si>
  <si>
    <t>Рекомендовано УМО по образованию в области землеустройства и кадастров в качестве учебного пособия для студентов высших учебных заведений, обучающихся по направлению подготовки «Землеустройство и кадастры»</t>
  </si>
  <si>
    <t>0319</t>
  </si>
  <si>
    <t>742831.04.01</t>
  </si>
  <si>
    <t>Картография и ГИС: Уч.пос. / В.П.Раклов - 3 изд. - М.:НИЦ ИНФРА-М,2023 - 215 с.-(СПО)(П)</t>
  </si>
  <si>
    <t>978-5-16-016460-1</t>
  </si>
  <si>
    <t>21.02.08, 21.02.11, 21.02.12, 21.02.13, 21.02.09, 21.02.10, 21.02.14, 21.02.15, 21.02.17, 21.02.18, 21.02.16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</si>
  <si>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"Землеустройство и кадастры" (протокол № 8 от 22.06.2020)</t>
  </si>
  <si>
    <t>0321</t>
  </si>
  <si>
    <t>765800.01.01</t>
  </si>
  <si>
    <t>Картография с основами топографии..: Уч.пос. / О.В.Шульгина, - 2 изд.-М.:НИЦ ИНФРА-М,2022.-229 с.(П)</t>
  </si>
  <si>
    <t>КАРТОГРАФИЯ С ОСНОВАМИ ТОПОГРАФИИ. СЛОВАРЬ-СПРАВОЧНИК, ИЗД.2</t>
  </si>
  <si>
    <t>Шульгина О.В.</t>
  </si>
  <si>
    <t>978-5-16-017312-2</t>
  </si>
  <si>
    <t>05.03.02, 05.03.03</t>
  </si>
  <si>
    <t>Январь, 2023</t>
  </si>
  <si>
    <t>637700.05.01</t>
  </si>
  <si>
    <t>Категории и некоторые их приложения: Моногр./ Г.В.Кондратьев - М.:НИЦ ИНФРА-М,2023 - 175 с.(О)</t>
  </si>
  <si>
    <t>КАТЕГОРИИ И НЕКОТОРЫЕ ИХ ПРИЛОЖЕНИЯ</t>
  </si>
  <si>
    <t>978-5-16-015978-2</t>
  </si>
  <si>
    <t>01.03.01</t>
  </si>
  <si>
    <t>689658.02.01</t>
  </si>
  <si>
    <t>Климатография Евпаторийского курорта: Моногр. / В.Н.Любчик-М.:НИЦ ИНФРА-М,2023.-135 с(Науч.мысль)(П)</t>
  </si>
  <si>
    <t>КЛИМАТОГРАФИЯ ЕВПАТОРИЙСКОГО КУРОРТА</t>
  </si>
  <si>
    <t>Любчик В.Н.</t>
  </si>
  <si>
    <t>Научная мысль - 100 лет КрымФУ</t>
  </si>
  <si>
    <t>978-5-16-014394-1</t>
  </si>
  <si>
    <t>31.05.01, 32.05.01, 34.03.01, 49.03.03</t>
  </si>
  <si>
    <t>479300.05.01</t>
  </si>
  <si>
    <t>Климатология: Уч. / А.В.Кислов - 3 изд. - М.:НИЦ ИНФРА-М,2020 - 324 с.-(ВО: Бакалавриат)(П)</t>
  </si>
  <si>
    <t>КЛИМАТОЛОГИЯ, ИЗД.3</t>
  </si>
  <si>
    <t>Кислов А.В., Суркова Г.В.</t>
  </si>
  <si>
    <t>978-5-16-011694-5</t>
  </si>
  <si>
    <t>05.03.02, 05.03.04, 20.03.02</t>
  </si>
  <si>
    <t>Рекомендовано Учебно-методическим объединением по классическому университетскому образованию в качестве учебника для студентов высших учебных заведений, обучающихся по направлениям 05.03.02 «География»; 05.03.04 «Гидрометеорология» (квалификация (степень) «бакалавр»)</t>
  </si>
  <si>
    <t>0316</t>
  </si>
  <si>
    <t>682952.04.01</t>
  </si>
  <si>
    <t>Климатология: Уч. / А.В.Кислов - 3 изд., доп. - М.:НИЦ ИНФРА-М,2023 - 324 с.-(СПО)(П)</t>
  </si>
  <si>
    <t>978-5-16-013954-8</t>
  </si>
  <si>
    <t>05.02.02, 05.02.03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</si>
  <si>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05.02.00 «Науки о Земле»</t>
  </si>
  <si>
    <t>479300.09.01</t>
  </si>
  <si>
    <t>Климатология: Уч. / А.В.Кислов - 4 изд. - М.:НИЦ ИНФРА-М,2024 - 324 с.-(ВО: Бакалавриат)(П)</t>
  </si>
  <si>
    <t>КЛИМАТОЛОГИЯ, ИЗД.4</t>
  </si>
  <si>
    <t>978-5-16-015194-6</t>
  </si>
  <si>
    <t>0420</t>
  </si>
  <si>
    <t>682678.03.01</t>
  </si>
  <si>
    <t>Когерентная оптика и оптич. обработка информ.: Уч.пос. / В.Ш.Берикашвили-М.:НИЦ ИНФРА-М,2023.-306 с.(ВО)(П)</t>
  </si>
  <si>
    <t>КОГЕРЕНТНАЯ ОПТИКА И ОПТИЧЕСКАЯ ОБРАБОТКА ИНФОРМАЦИИ</t>
  </si>
  <si>
    <t>Берикашвили В.Ш.</t>
  </si>
  <si>
    <t>978-5-16-014695-9</t>
  </si>
  <si>
    <t>12.03.03, 12.03.01, 12.03.02, 12.03.05, 12.04.02, 12.04.03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</si>
  <si>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12.03.01 «Приборостроение», 12.03.02 «Оптотехника», 12.03.03 «Фотоника и оптоинформатика» (квалификация (степень) «бакалавр») (протокол № 5 от 16.03.2020)</t>
  </si>
  <si>
    <t>753439.02.01</t>
  </si>
  <si>
    <t>Колебания твердых тел, жидкостей и газов с учетом...: Моногр. / И.В.Кудинов - М.:НИЦ ИНФРА-М,2023 - 162 с.(О)</t>
  </si>
  <si>
    <t>КОЛЕБАНИЯ ТВЕРДЫХ ТЕЛ, ЖИДКОСТЕЙ И ГАЗОВ С УЧЕТОМ ЛОКАЛЬНОЙ НЕРАВНОВЕСНОСТИ</t>
  </si>
  <si>
    <t>Кудинов И.В., Еремин А.В., Жуков В.В. и др.</t>
  </si>
  <si>
    <t>978-5-16-017515-7</t>
  </si>
  <si>
    <t>01.03.03, 01.04.03</t>
  </si>
  <si>
    <t>Самарский государственный технический университет</t>
  </si>
  <si>
    <t>322500.04.01</t>
  </si>
  <si>
    <t>Комплекс оптимизационных и имитационных..: Моногр. / Б.А. Романов- М.:РИОР,2019-292с(Научн.мысль)(о)</t>
  </si>
  <si>
    <t>КОМПЛЕКС ОПТИМИЗАЦИОННЫХ И ИМИТАЦИОННЫХ МОДЕЛЕЙ ДЛЯ ИССЛЕДОВАНИЯ РЕАЛИЗАЦИИ ПРЕДПРИЯТИЯМИ ИНВЕСТИЦИОННЫХ ПРОИЗВОДСТВЕННЫХ ПРОЕКТОВ</t>
  </si>
  <si>
    <t>Романов Б. А.</t>
  </si>
  <si>
    <t>978-5-369-01406-6</t>
  </si>
  <si>
    <t>38.04.08, 38.04.02, 38.03.01, 38.03.02</t>
  </si>
  <si>
    <t>694929.03.01</t>
  </si>
  <si>
    <t>Комплексная методика автоматизир.обнаружения..:Моногр. / А.А.Рихтер-М.:НИЦ ИНФРА-М,2023-205с(Науч.мысль)(О)</t>
  </si>
  <si>
    <t>КОМПЛЕКСНАЯ МЕТОДИКА АВТОМАТИЗИРОВАННОГО ОБНАРУЖЕНИЯ И ОЦЕНКИ ПАРАМЕТРОВ ОБЪЕКТОВ ЗАХОРОНЕНИЯ ОТХОДОВ ПО ДАННЫМ КОСМИЧЕСКОЙ СЪЕМКИ</t>
  </si>
  <si>
    <t>Рихтер А.А.</t>
  </si>
  <si>
    <t>978-5-16-014562-4</t>
  </si>
  <si>
    <t>20.04.01, 20.04.02, 20.06.01</t>
  </si>
  <si>
    <t>Научно-исследовательский институт аэрокосмического мониторинга "АЭРОКОСМОС"</t>
  </si>
  <si>
    <t>649779.04.01</t>
  </si>
  <si>
    <t>Композитные системы с добавлением золы: Моногр. / М.В.Устинова-М:НИЦ ИНФРА-М,2022-71с(Науч.мысль)(О)</t>
  </si>
  <si>
    <t>КОМПОЗИТНЫЕ СИСТЕМЫ С ДОБАВЛЕНИЕМ ЗОЛЫ</t>
  </si>
  <si>
    <t>Устинова М.В., Зубрев Н.И.</t>
  </si>
  <si>
    <t>978-5-16-012743-9</t>
  </si>
  <si>
    <t>20.03.01, 22.03.01, 08.05.03</t>
  </si>
  <si>
    <t>Российский университет транспорта (МИИТ)</t>
  </si>
  <si>
    <t>447400.03.01</t>
  </si>
  <si>
    <t>Компьютерная математика: Уч.пос. / К.В.Титов-М.:ИЦ РИОР, НИЦ ИНФРА-М,2023.-261 с.(ВО)(П)</t>
  </si>
  <si>
    <t>КОМПЬЮТЕРНАЯ МАТЕМАТИКА</t>
  </si>
  <si>
    <t>К.В.Титов</t>
  </si>
  <si>
    <t>978-5-369-01470-7</t>
  </si>
  <si>
    <t>01.03.04, 01.04.04, 01.04.01, 02.04.01, 01.04.02, 01.03.01, 02.03.01, 01.03.02</t>
  </si>
  <si>
    <t>122850.12.01</t>
  </si>
  <si>
    <t>Компьютерная оценка воздейств.на...: Уч.пос. /В.П.Мешалкин -М.:НИЦ ИНФРА-М, 2023-449с(ВО)(о)</t>
  </si>
  <si>
    <t>КОМПЬЮТЕРНАЯ ОЦЕНКА ВОЗДЕЙСТВИЯ НА ОКРУЖАЮЩУЮ СРЕДУ МАГИСТРАЛЬНЫХ ТРУБОПРОВОДОВ</t>
  </si>
  <si>
    <t>Мешалкин В.П., Бутусов О.Б.</t>
  </si>
  <si>
    <t>978-5-16-018615-3</t>
  </si>
  <si>
    <t>21.02.10, 20.02.01, 05.03.06, 44.03.05</t>
  </si>
  <si>
    <t>Допущено учебно-методическим объединением вузов Российской Федерации по образованию в области химической технологии и биотехнологии в качестве учебного пособия для студентов, обучающихся по направлению подготовки 18.03.02 «Энерго- и ресурсосберегающие процессы химической технологии, нефтехимии и биотехнологии»</t>
  </si>
  <si>
    <t>Российский химико-технологический университет им. Д.И. Менделеева</t>
  </si>
  <si>
    <t>094360.04.01</t>
  </si>
  <si>
    <t>Концепции соврем. естествознания: Уч.пос. / В.П.Романов- 2изд.-М.:ИЦ РИОР, НИЦ ИНФРА-М,2019-128с(ВО)</t>
  </si>
  <si>
    <t>КОНЦЕПЦИИ СОВРЕМЕННОГО ЕСТЕСТВОЗНАНИЯ, ИЗД.2</t>
  </si>
  <si>
    <t>Романов В. П.</t>
  </si>
  <si>
    <t>978-5-369-00745-7</t>
  </si>
  <si>
    <t>47.03.01, 41.03.04, 37.03.01, 46.03.02, 42.03.02, 41.03.03, 38.03.01, 38.03.04, 38.03.03, 37.03.02, 44.03.01, 44.03.05, 42.03.03, 44.03.03, 39.03.03, 45.03.04, 51.03.01, 50.03.01, 51.03.04, 47.03.03, 48.03.01, 47.03.02, 41.03.06</t>
  </si>
  <si>
    <t>Допущено Мин. обр. и науки РФ в качестве УчПос для студ. ВУЗ., обущ. по напр. подг. "Менеджм." и спец. "Менеджм. организ.", "Маркетинг", "Прикл. инф. в эконом.","Компл. защ. объектов информат.", Юриспруд", "Перевод и переводовед.", "Управл. качеств."</t>
  </si>
  <si>
    <t>Московский институт электронной техники</t>
  </si>
  <si>
    <t>079340.09.01</t>
  </si>
  <si>
    <t>Концепции современного естествознания.: Уч. пос./В.П.Романов - 4 изд.- М.: Вуз.учеб., 2024-286с. (п)</t>
  </si>
  <si>
    <t>КОНЦЕПЦИИ СОВРЕМЕННОГО ЕСТЕСТВОЗНАНИЯ, ИЗД.4</t>
  </si>
  <si>
    <t>978-5-9558-0189-6</t>
  </si>
  <si>
    <t>0411</t>
  </si>
  <si>
    <t>088550.10.01</t>
  </si>
  <si>
    <t>Концепции современного естествознания: Практ./ В.П. Романов-3изд.,М.:Вуз.уч.,НИЦ ИНФРА-М,2023-128(О)</t>
  </si>
  <si>
    <t>КОНЦЕПЦИИ СОВРЕМЕННОГО ЕСТЕСТВОЗНАНИЯ, ИЗД.3</t>
  </si>
  <si>
    <t>Романов В.П.</t>
  </si>
  <si>
    <t>978-5-9558-0397-5</t>
  </si>
  <si>
    <t>47.03.01, 41.03.04, 46.03.02, 42.03.02, 41.03.03, 38.03.01, 38.03.04, 38.03.03, 37.03.02, 44.03.01, 44.03.05, 42.03.03, 44.03.03, 39.03.03, 45.03.04, 51.03.01, 50.03.01, 51.03.04, 47.03.03, 48.03.01, 47.03.02, 41.03.06</t>
  </si>
  <si>
    <t>Допущено Мин. обр. и науки РФ  в качестве учебного пособия по теоретической механике для студентов высших учебных заведений</t>
  </si>
  <si>
    <t>0308</t>
  </si>
  <si>
    <t>156400.08.01</t>
  </si>
  <si>
    <t>Концепции современного естествознания: Уч. / Г.И.Рузавин - 3 изд. - М.:НИЦ ИНФРА-М,2023-271с(ВО)(п)</t>
  </si>
  <si>
    <t>Рузавин Г.И.</t>
  </si>
  <si>
    <t>978-5-16-018670-2</t>
  </si>
  <si>
    <t>47.03.01, 41.03.04, 46.03.02, 42.03.02, 38.03.01, 38.03.04, 38.03.03, 37.03.02, 44.03.01, 44.03.05, 51.03.01, 50.03.01, 47.03.03, 47.03.02, 41.03.06</t>
  </si>
  <si>
    <t>Рекомендовано Министерством образования РФ в качестве учебника для студентов высших учебных заведений</t>
  </si>
  <si>
    <t>0312</t>
  </si>
  <si>
    <t>266300.06.01</t>
  </si>
  <si>
    <t>Концепции современного естествознания: Уч. пос. / В.А.Разумов - М.: НИЦ ИНФРА-М, 2024-352с.(ВО) (п)</t>
  </si>
  <si>
    <t>КОНЦЕПЦИИ СОВРЕМЕННОГО ЕСТЕСТВОЗНАНИЯ</t>
  </si>
  <si>
    <t>Разумов В.А.</t>
  </si>
  <si>
    <t>978-5-16-009585-1</t>
  </si>
  <si>
    <t>Курчатовский институт - ИРЕА</t>
  </si>
  <si>
    <t>400900.05.01</t>
  </si>
  <si>
    <t>Концепции современного естествознания: Уч.пос. / Т.Г.Лешкевич - М.: НИЦ Инфра-М, 2019-335с.(ВО) (п)</t>
  </si>
  <si>
    <t>КОНЦЕПЦИИ СОВРЕМЕННОГО ЕСТЕСТВОЗНАНИЯ: СОЦИОГУМАНИТАРНАЯ ИНТЕРПРЕТАЦИЯ СПЕЦИФИКИ СОВРЕМЕННОЙ НАУКИ</t>
  </si>
  <si>
    <t>Лешкевич Т.Г.</t>
  </si>
  <si>
    <t>978-5-16-005519-0</t>
  </si>
  <si>
    <t>00.04.17</t>
  </si>
  <si>
    <t>Рекомендовано в качестве учебного пособия для студентов высших учебных заведений, обучающихся по гуманитарным, социально-экономическим и общественным направлениям подготовки (квалификация (степень) «бакалавр»)</t>
  </si>
  <si>
    <t>Российская академия народного хозяйства и государственной службы при Президенте РФ</t>
  </si>
  <si>
    <t>664423.02.01</t>
  </si>
  <si>
    <t>Концепции современного естествознания: Уч.пос. / Э.В.Островский-М.:Вуз. уч., НИЦ ИНФРА-М,2024.-141 с.(ВО)(п)</t>
  </si>
  <si>
    <t>КОНЦЕПЦИИ СОВРЕМЕННОГО ЕСТЕСТВОЗНАНИЯ.</t>
  </si>
  <si>
    <t>Островский Э.В.</t>
  </si>
  <si>
    <t>978-5-9558-0593-1</t>
  </si>
  <si>
    <t>Рекомендовано Учебно-методическим советом ВО в качестве учебного пособия для студентов высших учебных заведений, обучающихся по экономическим и гуманитарным направлениям подготовки (квалификация (степень) «бакалавр»)</t>
  </si>
  <si>
    <t>101840.03.01</t>
  </si>
  <si>
    <t>Концепции современного естествознания: Шпаргалка -М.:ИЦ РИОР, НИЦ ИНФРА-М,-126с(Шпаргалка [отрывная])</t>
  </si>
  <si>
    <t>978-5-369-00344-2</t>
  </si>
  <si>
    <t>678946.04.01</t>
  </si>
  <si>
    <t>Концепция создания продукции и достиж.мир.уровня: Моногр./ Б.А.Аникин-М.:НИЦ ИНФРА-М,2023-178с(О)</t>
  </si>
  <si>
    <t>КОНЦЕПЦИЯ СОЗДАНИЯ ПРОДУКЦИИ И ДОСТИЖЕНИЙ МИРОВОГО УРОВНЯ</t>
  </si>
  <si>
    <t>Аникин Б.А., Аникин О.Б., Гришин В.Н.</t>
  </si>
  <si>
    <t>978-5-16-013715-5</t>
  </si>
  <si>
    <t>27.03.05, 27.04.07, 38.03.01</t>
  </si>
  <si>
    <t>690551.02.01</t>
  </si>
  <si>
    <t>Космический мониторинг объектов захоронения...: Моногр./ Казарян М.Л.— М. : ИНФРА-М, 2023.— 278с.(О)</t>
  </si>
  <si>
    <t>КОСМИЧЕСКИЙ МОНИТОРИНГ ОБЪЕКТОВ ЗАХОРОНЕНИЯ ТВЕРДЫХ БЫТОВЫХ ОТХОДОВ И ПРОМЫШЛЕННЫХ ОТХОДОВ (ТБО И ПО): ТЕОРЕТИКО-МЕТОДИЧЕСКИЕ И СОЦИАЛЬНО-ЭКОНОМИЧЕСКИЕ АСПЕКТЫ</t>
  </si>
  <si>
    <t>Казарян М.Л., Рихтер А.А., Шахраманьян М.А. и др.</t>
  </si>
  <si>
    <t>978-5-16-014435-1</t>
  </si>
  <si>
    <t>20.03.01, 20.03.02, 38.04.01, 20.04.01, 20.04.02, 38.03.01</t>
  </si>
  <si>
    <t>Северо-осетинская государственная медицинская академия</t>
  </si>
  <si>
    <t>755764.01.01</t>
  </si>
  <si>
    <t>Критерии проверки гипотез о случайности и отсут. тренда. Руков..: Моногр. / Б.Ю.Лемешко-М.:НИЦ ИНФРА-М,2021.-221 с.(Науч. мысль)(О)</t>
  </si>
  <si>
    <t>КРИТЕРИИ ПРОВЕРКИ ГИПОТЕЗ О СЛУЧАЙНОСТИ И ОТСУТСТВИИ ТРЕНДА. РУКОВОДСТВО ПО ПРИМЕНЕНИЮ</t>
  </si>
  <si>
    <t>Лемешко Б.Ю., Веретельникова И.В.</t>
  </si>
  <si>
    <t>978-5-16-017054-1</t>
  </si>
  <si>
    <t>38.04.01, 38.06.01, 38.03.01</t>
  </si>
  <si>
    <t>Новосибирский государственный технический университет</t>
  </si>
  <si>
    <t>479650.06.01</t>
  </si>
  <si>
    <t>Критерии проверки отклонения распред. от норм. закона / Б.Ю.Лемешко - 2 изд. - ИНФРА-М, 2023-353 с. (О)</t>
  </si>
  <si>
    <t>КРИТЕРИИ ПРОВЕРКИ ОТКЛОНЕНИЯ РАСПРЕДЕЛЕНИЯ ОТ НОРМАЛЬНОГО ЗАКОНА. РУКОВОДСТВО ПО ПРИМЕНЕНИЮ, ИЗД.2</t>
  </si>
  <si>
    <t>Лемешко Б.Ю.</t>
  </si>
  <si>
    <t>978-5-16-017901-8</t>
  </si>
  <si>
    <t>01.03.04, 01.04.04, 01.04.01, 01.06.01, 01.03.01</t>
  </si>
  <si>
    <t>479650.05.01</t>
  </si>
  <si>
    <t>Критерии проверки отклонения распред. от норм. закона: Рук.. / Б.Ю.Лемешко - ИНФРА-М, 2021-160с. (о)</t>
  </si>
  <si>
    <t>КРИТЕРИИ ПРОВЕРКИ ОТКЛОНЕНИЯ РАСПРЕДЕЛЕНИЯ ОТ НОРМАЛЬНОГО ЗАКОНА. РУКОВОДСТВО ПО ПРИМЕНЕНИЮ</t>
  </si>
  <si>
    <t>978-5-16-010314-3</t>
  </si>
  <si>
    <t>369600.04.01</t>
  </si>
  <si>
    <t>Критерии проверки отклонения распред. от равн.закона: Моногр. / Б.Ю.Лемешко - М.:НИЦ ИНФРА-М,2022-183с(О)</t>
  </si>
  <si>
    <t>КРИТЕРИИ ПРОВЕРКИ ОТКЛОНЕНИЯ РАСПРЕДЕЛЕНИЯ ОТ РАВНОМЕРНОГО ЗАКОНА. РУКОВОДСТВО ПО ПРИМЕНЕНИЮ</t>
  </si>
  <si>
    <t>Лемешко Б.Ю., Блинов П.Ю.</t>
  </si>
  <si>
    <t>978-5-16-011011-0</t>
  </si>
  <si>
    <t>06.03.01, 06.04.01, 39.04.01, 38.04.01, 38.03.01, 39.03.01</t>
  </si>
  <si>
    <t>376200.06.01</t>
  </si>
  <si>
    <t>Курс высшей матем. для экономистов: Уч. / под ред. Сагитова Р.В.-М.:НИЦ ИНФРА-М,2024.-647 с.(ВО)(п)</t>
  </si>
  <si>
    <t>КУРС ВЫСШЕЙ МАТЕМАТИКИ ДЛЯ ЭКОНОМИСТОВ</t>
  </si>
  <si>
    <t>Рудык Б.М., Бобрик Г.И., Гринцевичюс Р.К. и др.</t>
  </si>
  <si>
    <t>978-5-16-019153-9</t>
  </si>
  <si>
    <t>38.03.01, 38.03.07, 38.03.02, 38.03.04, 38.03.03</t>
  </si>
  <si>
    <t>Рекомендовано в качестве учебника для студентов высших учебных заведений, обучающихся по направлениям подготовки 38.03.01 «Экономика», 38.03.02 «Менеджмент», 38.03.03 «Управление персоналом», 38.03.04 «Государственное и муниципальное управление», 38.03.07 «Товароведение» (квалификация (степень) «бакалавр»)</t>
  </si>
  <si>
    <t>462150.07.01</t>
  </si>
  <si>
    <t>Курс инженерной геодезии: Уч. / Н.А.Буденков - 2 изд. - М.:Форум, НИЦ ИНФРА-М,2023 - 272 с.-(ВО)(П)</t>
  </si>
  <si>
    <t>КУРС ИНЖЕНЕРНОЙ ГЕОДЕЗИИ, ИЗД.2</t>
  </si>
  <si>
    <t>Буденков Н. А., Нехорошков П. А., Щекова О. Г.,</t>
  </si>
  <si>
    <t>978-5-91134-851-9</t>
  </si>
  <si>
    <t>21.05.01, 21.03.03</t>
  </si>
  <si>
    <t>Поволжский государственный технологический университет</t>
  </si>
  <si>
    <t>682964.02.01</t>
  </si>
  <si>
    <t>Курс инженерной геодезии: Уч. / Н.А.Буденков - 2 изд. - М.:Форум,НИЦ ИНФРА-М,2023 - 272 с.(СПО)(П)</t>
  </si>
  <si>
    <t>Буденков Н.А., Нехорошков П.А., Щекова О.Г.</t>
  </si>
  <si>
    <t>978-5-00091-614-8</t>
  </si>
  <si>
    <t>08.02.05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</si>
  <si>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35.02.01 «Лесное и лесопарковое хозяйство», 35.02.02 «Технология лесозаготовок»</t>
  </si>
  <si>
    <t>0218</t>
  </si>
  <si>
    <t>673677.02.01</t>
  </si>
  <si>
    <t>Курс мат. анализа для студентов-бакалавров...: Уч.пос. / Т.В.Волкова - М.:НИЦ ИНФРА-М,2023 - 268 с.(ВО)(П)</t>
  </si>
  <si>
    <t>КУРС МАТЕМАТИЧЕСКОГО АНАЛИЗА ДЛЯ СТУДЕНТОВ-БАКАЛАВРОВ ИНЖЕНЕРНЫХ ФАКУЛЬТЕТОВ</t>
  </si>
  <si>
    <t>Волкова Т.В.</t>
  </si>
  <si>
    <t>978-5-16-014950-9</t>
  </si>
  <si>
    <t>09.03.01, 09.03.04, 09.03.02, 11.03.02, 21.05.04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</si>
  <si>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инженерно-техническим направлениям подготовки (квалификация (степень) «бакалавр») (протокол № 11 от 09.11.2020)</t>
  </si>
  <si>
    <t>256300.12.01</t>
  </si>
  <si>
    <t>Курс общей физики: Уч. пос. / К.Б. Канн - М.: КУРС:НИЦ ИНФРА-М,2021 - 368 с. (п)</t>
  </si>
  <si>
    <t>КУРС ОБЩЕЙ ФИЗИКИ</t>
  </si>
  <si>
    <t>Канн К. Б.</t>
  </si>
  <si>
    <t>978-5-905554-47-6</t>
  </si>
  <si>
    <t>02.03.02, 02.03.03, 03.03.02, 03.03.03, 01.03.03, 04.03.01, 06.03.01, 05.03.01, 05.03.02, 05.03.03, 05.03.04, 05.03.05, 05.03.06, 06.03.02, 01.03.04, 04.04.01, 01.03.01, 02.03.01, 01.03.02</t>
  </si>
  <si>
    <t>Допущено Научно-методическим советом Министерства образования и науки Российской Федерации в качестве учебного пособия для студентов высших учебных заведений, обучающихся по естественным специальностям, для которых физика не является профилирующим пр</t>
  </si>
  <si>
    <t>Белгородский государственный национальный исследовательский университет</t>
  </si>
  <si>
    <t>429800.08.01</t>
  </si>
  <si>
    <t>Курс физики: Уч. / В.Г.Хавруняк-М.:НИЦ ИНФРА-М,2024.-400 с..-(ВО: Бакалавриат)(п)</t>
  </si>
  <si>
    <t>КУРС ФИЗИКИ</t>
  </si>
  <si>
    <t>Хавруняк В. Г.</t>
  </si>
  <si>
    <t>978-5-16-006395-9</t>
  </si>
  <si>
    <t>09.03.01, 09.03.04, 09.03.02, 11.03.01, 11.03.02, 10.03.01, 11.03.03, 11.03.04, 12.03.03, 12.03.04, 12.03.01, 12.03.02, 13.03.02, 14.03.02, 13.03.03, 16.03.03, 14.03.01, 16.03.01, 16.03.02, 13.03.01, 09.03.03</t>
  </si>
  <si>
    <t>Допущено научно-методическим советом по физике Министерства образования и науки РФ в качестве учебного пособия для студентов высших учебных заведений, обучающихся по техническим направлениям подготовки и специальностям</t>
  </si>
  <si>
    <t>039720.12.01</t>
  </si>
  <si>
    <t>Лабораторный практикум по экологии:Уч. пос. / Н.А.Голубкина, - 4 изд.-М.:Форум, НИЦ ИНФРА-М,2023.-97 с.(О)</t>
  </si>
  <si>
    <t>ЛАБОРАТОРНЫЙ ПРАКТИКУМ ПО ЭКОЛОГИИ, ИЗД.4</t>
  </si>
  <si>
    <t>Голубкина Н. А., Лосева Т. А.</t>
  </si>
  <si>
    <t>978-5-00091-411-3</t>
  </si>
  <si>
    <t>00.02.37</t>
  </si>
  <si>
    <t>Допущено Министерством образования РФ в качестве учебного пособия для студентов учреждений среднего профессионального образования</t>
  </si>
  <si>
    <t>Федеральный научный центр овощеводства</t>
  </si>
  <si>
    <t>222200.09.01</t>
  </si>
  <si>
    <t>Лекции по численным методам матем. физики: Уч. пос./М.В. Абакумов - М.: НИЦ ИНФРА-М, 2024-158с.(ВО) (о)</t>
  </si>
  <si>
    <t>ЛЕКЦИИ ПО ЧИСЛЕННЫМ МЕТОДАМ МАТЕМАТИЧЕСКОЙ ФИЗИКИ</t>
  </si>
  <si>
    <t>Абакумов М. В., Гулин А. В.</t>
  </si>
  <si>
    <t>978-5-16-006108-5</t>
  </si>
  <si>
    <t>04.03.02, 02.03.03, 03.03.01, 03.03.02, 01.03.04, 03.04.01, 04.04.01, 01.03.01, 01.03.02</t>
  </si>
  <si>
    <t>485450.06.01</t>
  </si>
  <si>
    <t>Линейная алгебра в примерах и задачах: Уч пос. / А.С. Бортаковский-3изд.-М.: НИЦ ИНФРА-М,2023-592с (п)</t>
  </si>
  <si>
    <t>ЛИНЕЙНАЯ АЛГЕБРА В ПРИМЕРАХ И ЗАДАЧАХ, ИЗД.3</t>
  </si>
  <si>
    <t>978-5-16-010586-4</t>
  </si>
  <si>
    <t>02.03.02, 04.03.02, 03.03.02, 01.03.04, 24.03.01, 01.04.04, 01.04.02, 01.05.01, 01.03.02, 38.03.01</t>
  </si>
  <si>
    <t>475450.04.01</t>
  </si>
  <si>
    <t>Линейная алгебра и аналитическая геометрия. Практ.: Уч. пос./А.С.Бортаковский-ИНФРА-М,2023-352с.(ВО)</t>
  </si>
  <si>
    <t>ЛИНЕЙНАЯ АЛГЕБРА И АНАЛИТИЧЕСКАЯ ГЕОМЕТРИЯ. ПРАКТИКУМ</t>
  </si>
  <si>
    <t>Бортаковский А. С., Пантелеев А. В.</t>
  </si>
  <si>
    <t>978-5-16-010206-1</t>
  </si>
  <si>
    <t>38.03.10, 04.03.02, 03.03.01, 03.03.02, 03.03.03, 04.03.01, 06.03.01, 05.03.01, 05.03.02, 05.03.03, 05.03.04, 05.03.05, 05.03.06, 06.03.02, 08.03.01, 01.03.04, 09.03.01, 09.03.04, 09.03.02, 11.03.01, 11.03.02, 10.03.01, 11.03.03, 11.03.04, 13.03.02, 13.03.03, 13.03.01, 15.03.02, 15.03.01, 15.03.03, 15.03.04, 15.03.06, 15.03.05, 01.04.04, 01.04.02, 03.04.01, 10.05.04, 10.05.01, 10.05.03, 10.05.05, 10.05.02, 01.03.02, 38.03.01, 38.03.05, 09.03.03, 38.03.06, 38.03.07, 38.03.02, 38.03.04, 38.03.03, 10.05.07</t>
  </si>
  <si>
    <t>136550.10.01</t>
  </si>
  <si>
    <t>Линейная алгебра: теория и приклад. аспек.: Уч. пос. / Г.С.Шевцов - 3 изд.- Магистр: ИНФРА-М, 2023 -544с. (п)</t>
  </si>
  <si>
    <t>ЛИНЕЙНАЯ АЛГЕБРА: ТЕОРИЯ И ПРИКЛАДНЫЕ АСПЕКТЫ, ИЗД.3</t>
  </si>
  <si>
    <t>Шевцов Г. С.</t>
  </si>
  <si>
    <t>978-5-9776-0258-7</t>
  </si>
  <si>
    <t>01.04.02, 01.03.02</t>
  </si>
  <si>
    <t>Рекомендованно Научно-методическим советом по математике и механике Учебно-методического объединения по классическому университетскому образованию в качестве учебного пособия для математических направлений и специальностей</t>
  </si>
  <si>
    <t>Пермский государственный национальный исследовательский университет</t>
  </si>
  <si>
    <t>0314</t>
  </si>
  <si>
    <t>411750.06.01</t>
  </si>
  <si>
    <t>Линейная алгебра: Уч. пос./ Б.М. Рудык. - М.: НИЦ ИНФРА-М, 2023. - 318 с. (ВО: Бакалавриат) (п)</t>
  </si>
  <si>
    <t>ЛИНЕЙНАЯ АЛГЕБРА</t>
  </si>
  <si>
    <t>Рудык Б. М.</t>
  </si>
  <si>
    <t>978-5-16-004533-7</t>
  </si>
  <si>
    <t>03.03.01, 03.03.02, 01.03.04, 01.03.01, 02.03.01, 01.03.02</t>
  </si>
  <si>
    <t>Рекомендовано ФГБОУ ВПО «Государственный университет управления» в качестве учебного пособия для студентов высших учебных заведений, обучающихся по направлению подготовки 38.03.01 (080100) «Экономика», квалификация (степень) — «бакалавр» Регистрацион</t>
  </si>
  <si>
    <t>381100.04.01</t>
  </si>
  <si>
    <t>Линейные целочисленные задачи оптимизации: Уч.пос. /Г.А.Соколов -М.:НИЦ ИНФРА-М,2024-132с.(ВО)(о)</t>
  </si>
  <si>
    <t>ЛИНЕЙНЫЕ ЦЕЛОЧИСЛЕННЫЕ ЗАДАЧИ ОПТИМИЗАЦИИ</t>
  </si>
  <si>
    <t>Соколов Г.А.</t>
  </si>
  <si>
    <t>978-5-16-019450-9</t>
  </si>
  <si>
    <t>02.03.03, 03.03.02, 03.03.03, 01.03.03, 24.03.01, 01.03.01, 02.03.01, 45.03.04</t>
  </si>
  <si>
    <t>Рекомендовано в качестве учебного пособия для студентов высших учебных заведений, обучающихся по специальности 38.03.01 «Экономика», 38.03.02 «Менеджмент» (квалификация (степень) «бакалавр»)</t>
  </si>
  <si>
    <t>681873.01.01</t>
  </si>
  <si>
    <t>Литология нефти и газа: Уч. / О.И.Серебряков.-М.:НИЦ ИНФРА-М,2021.-284 с.(ВО: Бакалавр.)(П)</t>
  </si>
  <si>
    <t>ЛИТОЛОГИЯ НЕФТИ И ГАЗА</t>
  </si>
  <si>
    <t>Серебряков О.И., Смирнова Т.С., Быстрова И.В. и др.</t>
  </si>
  <si>
    <t>978-5-16-014285-2</t>
  </si>
  <si>
    <t>05.03.01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</si>
  <si>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05.03.01 «Геология» (квалификация (степень) «бакалавр») (протокол № 2 от 09.02.2022)</t>
  </si>
  <si>
    <t>255000.03.01</t>
  </si>
  <si>
    <t>Литология осадочных терригенных формаций тектонич..:Моногр./О.В.Япаскурт-М.:НИЦ ИНФРА-М,2021-227с(о)</t>
  </si>
  <si>
    <t>ЛИТОЛОГИЯ ОСАДОЧНЫХ ТЕРРИГЕННЫХ ФОРМАЦИЙ ТЕКТОНИЧЕСКИ ПОДВИЖНОЙ ОБЛАСТИ (МЕЗОЗОИДЫ ВЕРХОЯНЬЯ И ПРИВЕРХОЯНЬЯ ПЕРЕДОВОГО ПЕРЕГИБА)</t>
  </si>
  <si>
    <t>ЯпаскуртО.В.</t>
  </si>
  <si>
    <t>978-5-16-011773-7</t>
  </si>
  <si>
    <t>373700.05.01</t>
  </si>
  <si>
    <t>Литология: Уч. / О.В.Япаскурт - 2 изд. - М.:НИЦ ИНФРА-М,2023 - 359 с.-(ВО: Бакалавриат)(П)</t>
  </si>
  <si>
    <t>ЛИТОЛОГИЯ, ИЗД.2</t>
  </si>
  <si>
    <t>978-5-16-011054-7</t>
  </si>
  <si>
    <t>Рекомендовано УМО по классическому университетскому образованию в качестве учебника для студентов, обучающихся по программам бакалавриата (05.03.01) и магистратуры (05.04.01) по направлению подготовки «Геология»</t>
  </si>
  <si>
    <t>649613.05.01</t>
  </si>
  <si>
    <t>Логика в химии: Монография / С.В.Евдокимов - М.:НИЦ ИНФРА-М,2024 - 319 с.-(Науч.мысль)(о)</t>
  </si>
  <si>
    <t>ЛОГИКА В ХИМИИ</t>
  </si>
  <si>
    <t>Евдокимов С.В.</t>
  </si>
  <si>
    <t>978-5-16-019444-8</t>
  </si>
  <si>
    <t>04.03.02, 04.03.01, 18.03.01, 18.03.02, 04.05.01, 31.05.01, 31.05.02, 31.05.03, 33.05.01, 30.05.01, 18.05.02, 18.05.01, 44.03.05</t>
  </si>
  <si>
    <t>423600.06.01</t>
  </si>
  <si>
    <t>Логика диссертации: Уч.пос./Г.Ч.Синченко, 4 изд.-М.:Форум, НИЦ ИНФРА-М,2019-312с(ВО:Магистратура)(П)</t>
  </si>
  <si>
    <t>ЛОГИКА ДИССЕРТАЦИИ, ИЗД.4</t>
  </si>
  <si>
    <t>Синченко Г. Ч.</t>
  </si>
  <si>
    <t>978-5-00091-659-9</t>
  </si>
  <si>
    <t>00.03.16, 00.05.16, 00.04.16, 47.04.01, 00.04.17, 00.06.01</t>
  </si>
  <si>
    <t>Омская академия Министерства внутренних дел Российской Федерации</t>
  </si>
  <si>
    <t>767386.01.01</t>
  </si>
  <si>
    <t>Логика с элементами математич. логики: Уч. / В.И.Игошин-М.:НИЦ ИНФРА-М,2023.-418 с.(ВО: Бакалавр.)(П)</t>
  </si>
  <si>
    <t>ЛОГИКА С ЭЛЕМЕНТАМИ МАТЕМАТИЧЕСКОЙ ЛОГИКИ</t>
  </si>
  <si>
    <t>Игошин В.И.</t>
  </si>
  <si>
    <t>978-5-16-017468-6</t>
  </si>
  <si>
    <t>01.00.00</t>
  </si>
  <si>
    <t>Июнь, 2023</t>
  </si>
  <si>
    <t>335400.05.01</t>
  </si>
  <si>
    <t>Макроквантовый термодинамич.метод...:Моногр./Ю.В.Светлов-М.:НИЦ ИНФРА-М,2024-313с.(Науч.мысль)(п)</t>
  </si>
  <si>
    <t>МАКРОКВАНТОВЫЙ ТЕРМОДИНАМИЧЕСКИЙ МЕТОД РАСЧЕТНОГО АНАЛИЗА ТЕРМОВЛАЖНОСТНЫХ ПРОЦЕССОВ В ПОРИСТЫХ МАТЕРИАЛАХ</t>
  </si>
  <si>
    <t>Светлов Ю.В.</t>
  </si>
  <si>
    <t>978-5-16-010673-1</t>
  </si>
  <si>
    <t>29.04.02, 29.03.01, 29.03.05</t>
  </si>
  <si>
    <t>786286.01.01</t>
  </si>
  <si>
    <t>Массовая обработка данных...: Моногр. / В.И.Мунерман-М.:НИЦ ИНФРА-М,2023.-263 с.(Науч.мысль)(О)</t>
  </si>
  <si>
    <t>МАССОВАЯ ОБРАБОТКА ДАННЫХ. АЛГЕБРАИЧЕСКИЕ МОДЕЛИ И МЕТОДЫ</t>
  </si>
  <si>
    <t>Мунерман В.И.</t>
  </si>
  <si>
    <t>978-5-16-018035-9</t>
  </si>
  <si>
    <t>45.04.04, 27.04.07, 01.04.02, 27.04.03, 01.06.01</t>
  </si>
  <si>
    <t>Смоленский государственный университет</t>
  </si>
  <si>
    <t>102550.13.01</t>
  </si>
  <si>
    <t>Математика в примерах и задачах: Уч.пос. / Л.Н.Журбенко, - М.:НИЦ ИНФРА-М,2022 - 372 с.(ВО)(П)</t>
  </si>
  <si>
    <t>МАТЕМАТИКА В ПРИМЕРАХ И ЗАДАЧАХ</t>
  </si>
  <si>
    <t>Дегтярева О.М., Журбенко Л.Н., Никонова Г.А. и др.</t>
  </si>
  <si>
    <t>978-5-16-011256-5</t>
  </si>
  <si>
    <t>Допущено Министерством образования и науки Российской Федерации в качестве учебного пособия для студентов высших учебных заведений, обучающихся по техническим специальностям</t>
  </si>
  <si>
    <t>086850.12.01</t>
  </si>
  <si>
    <t>Математика для воспитателей: Уч. / Н.И.Фрейлах, - 2 изд.-М.:НИЦ ИНФРА-М,2024.-136 с.(О)</t>
  </si>
  <si>
    <t>МАТЕМАТИКА ДЛЯ ВОСПИТАТЕЛЕЙ, ИЗД.2</t>
  </si>
  <si>
    <t>Фрейлах Н. И.</t>
  </si>
  <si>
    <t>978-5-16-018090-8</t>
  </si>
  <si>
    <t>44.02.01, 44.02.03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</si>
  <si>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</t>
  </si>
  <si>
    <t>373000.08.01</t>
  </si>
  <si>
    <t>Математика для экономистов: основы теории, прим. и задачи: Уч.пос. / А.И.Песчанский-М.:Вуз. уч., НИЦ ИНФРА-М,2023.-520с.(П)</t>
  </si>
  <si>
    <t>МАТЕМАТИКА ДЛЯ ЭКОНОМИСТОВ: ОСНОВЫ ТЕОРИИ, ПРИМЕРЫ И ЗАДАЧИ</t>
  </si>
  <si>
    <t>Песчанский А.И.</t>
  </si>
  <si>
    <t>978-5-9558-0493-4</t>
  </si>
  <si>
    <t>38.03.10, 38.03.01, 38.03.05, 38.03.06, 38.03.07, 38.03.02, 38.03.04, 38.03.03</t>
  </si>
  <si>
    <t>Допущено Научно-методическим советом по математике Министерства образования и науки Российской Федерации в качестве учебного пособия для студентов вузов, обучающихся по экономическим направлениям</t>
  </si>
  <si>
    <t>148500.13.01</t>
  </si>
  <si>
    <t>Математика для экономического бакалавриата: Уч. / М.С.Красс-М.:НИЦ ИНФРА-М,2024.-472 с.(ВО)(П)</t>
  </si>
  <si>
    <t>МАТЕМАТИКА ДЛЯ ЭКОНОМИЧЕСКОГО БАКАЛАВРИАТА</t>
  </si>
  <si>
    <t>Красс М.С., Чупрынов Б.П.</t>
  </si>
  <si>
    <t>978-5-16-018923-9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</si>
  <si>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направлению "Экономика"</t>
  </si>
  <si>
    <t>233700.05.01</t>
  </si>
  <si>
    <t>Математика и загадочный генет. код: Моногр. / В.М.Гупал- 2 изд.-М.:ИЦ РИОР, НИЦ ИНФРА-М,2023-290 с(О)</t>
  </si>
  <si>
    <t>МАТЕМАТИКА И ЗАГАДОЧНЫЙ ГЕНЕТИЧЕСКИЙ КОД, ИЗД.2</t>
  </si>
  <si>
    <t>Гупал В. М.</t>
  </si>
  <si>
    <t>978-5-369-01404-2</t>
  </si>
  <si>
    <t>06.03.01, 19.03.01, 01.04.01, 19.04.01, 01.03.01, 02.03.01, 44.03.05</t>
  </si>
  <si>
    <t>Военная академия Ракетных войск стратегического назначения им. Петра Великого</t>
  </si>
  <si>
    <t>026800.18.01</t>
  </si>
  <si>
    <t>Математика и информатика: Уч. / В.Я.Турецкий - 3 изд. - М.:ИНФРА-М,2023 - 558 с.-(ВО)</t>
  </si>
  <si>
    <t>МАТЕМАТИКА И ИНФОРМАТИКА, ИЗД.3</t>
  </si>
  <si>
    <t>Турецкий В. Я.</t>
  </si>
  <si>
    <t>978-5-16-005296-0</t>
  </si>
  <si>
    <t>00.05.03, 00.05.06, 00.03.03, 00.03.06</t>
  </si>
  <si>
    <t>Допущено Министерством образования РФ в качестве учебного пособия для студентов высших учебных заведений, обучающихся по гуманитарным направлениям и специальностям</t>
  </si>
  <si>
    <t>0302</t>
  </si>
  <si>
    <t>149730.05.01</t>
  </si>
  <si>
    <t>Математика и информатика: Шпаргалка - М.:ИЦ РИОР, НИЦ ИНФРА-М,-134 с.-(Шпаргалка [отрывная])(О)</t>
  </si>
  <si>
    <t>МАТЕМАТИКА И ИНФОРМАТИКА</t>
  </si>
  <si>
    <t>978-5-369-00690-0</t>
  </si>
  <si>
    <t>00.03.03, 00.03.06</t>
  </si>
  <si>
    <t>323500.04.01</t>
  </si>
  <si>
    <t>Математика и экон.-матем. модели: Уч./С.В.Юдин-М.:ИЦ РИОР, НИЦ ИНФРА-М,2022.-374 с.(ВО: Бакалавриат)(п)</t>
  </si>
  <si>
    <t>МАТЕМАТИКА И ЭКОНОМИКО-МАТЕМАТИЧЕСКИЕ МОДЕЛИ</t>
  </si>
  <si>
    <t>Юдин С.В.</t>
  </si>
  <si>
    <t>978-5-369-01409-7</t>
  </si>
  <si>
    <t>Рекомендовано УМО РАЕ по классическому университетскому и техническому образованию в качестве учебника для студентов высших учебных заведений, обучающихся по направлению подготовки: 080100 — «Экономика»</t>
  </si>
  <si>
    <t>Российский экономический университет им. Г.В. Плеханова, Тульский ф-л</t>
  </si>
  <si>
    <t>408050.05.01</t>
  </si>
  <si>
    <t>Математика. Линейная алгебра: Уч.пос. / Под ред. Расулова К.М.-М.:Форум, НИЦ ИНФРА-М,2023.-144 с.(СПО)(О)</t>
  </si>
  <si>
    <t>МАТЕМАТИКА. ЛИНЕЙНАЯ АЛГЕБРА</t>
  </si>
  <si>
    <t>Расулов К.М., Гомонов С.А., Расулов К.М.</t>
  </si>
  <si>
    <t>978-5-91134-713-0</t>
  </si>
  <si>
    <t>640311.06.01</t>
  </si>
  <si>
    <t>Математика. Элементы высшей матем.: Уч.: В 2 т.Т.1 /В.В.Бардушкин-М.:КУРС,НИЦ ИНФРА-М,2021-304с(СПО)(П)</t>
  </si>
  <si>
    <t>МАТЕМАТИКА. ЭЛЕМЕНТЫ ВЫСШЕЙ МАТЕМАТИКИ, Т.1</t>
  </si>
  <si>
    <t>Бардушкин В.В., Прокофьев А.А.</t>
  </si>
  <si>
    <t>978-5-906923-05-9</t>
  </si>
  <si>
    <t>43.02.08, 35.02.11, 21.02.13, 26.02.04, 09.02.07, 00.02.06</t>
  </si>
  <si>
    <t>657352.07.01</t>
  </si>
  <si>
    <t>Математика. Элементы высшей матем.: Уч.: В 2 т.Т.2 / В.В.Бардушкин-М.:КУРС, НИЦ ИНФРА-М,2022-368с(СПО) (П)</t>
  </si>
  <si>
    <t>МАТЕМАТИКА. ЭЛЕМЕНТЫ ВЫСШЕЙ МАТЕМАТИКИ, Т.2</t>
  </si>
  <si>
    <t>978-5-906923-34-9</t>
  </si>
  <si>
    <t>43.02.08, 35.02.11, 21.02.13, 26.02.04, 09.02.01, 08.02.08, 09.02.07, 00.02.06</t>
  </si>
  <si>
    <t>043500.28.01</t>
  </si>
  <si>
    <t>Математика: Уч. / А.А.Дадаян - 3 изд. - М.:НИЦ ИНФРА-М,2023 - 544 с.-(СПО)(П)</t>
  </si>
  <si>
    <t>МАТЕМАТИКА, ИЗД.3</t>
  </si>
  <si>
    <t>Дадаян А.А.</t>
  </si>
  <si>
    <t>978-5-16-012592-3</t>
  </si>
  <si>
    <t>43.02.08, 21.02.13, 26.02.05, 26.02.04, 18.02.13, 00.02.06</t>
  </si>
  <si>
    <t>Рекомендовано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</t>
  </si>
  <si>
    <t>0310</t>
  </si>
  <si>
    <t>769299.03.01</t>
  </si>
  <si>
    <t>Математика: Уч. / В.П.Омельченко-М.:НИЦ ИНФРА-М,2024.-349 с.(СПО)(П)</t>
  </si>
  <si>
    <t>МАТЕМАТИКА</t>
  </si>
  <si>
    <t>Омельченко В.П., Карасенко Н.В.</t>
  </si>
  <si>
    <t>978-5-16-017462-4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</si>
  <si>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программу среднего профессионального образования (протокол № 5 от 11.05.2022)</t>
  </si>
  <si>
    <t>690282.04.01</t>
  </si>
  <si>
    <t>Математика: Уч. / Н.С.Юхно - М.:НИЦ ИНФРА-М,2023 - 204 с.-(СПО)(П)</t>
  </si>
  <si>
    <t>Юхно Н.С.</t>
  </si>
  <si>
    <t>978-5-16-014744-4</t>
  </si>
  <si>
    <t>13.02.07, 13.02.08, 13.02.09, 13.02.10, 13.02.11, 23.02.02, 23.02.06, 23.02.05, 23.02.04, 23.02.03, 23.02.01, 27.02.06, 23.02.07, 00.02.06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</si>
  <si>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на базе основного общего образования (протокол № 10 от 12.10.2020)</t>
  </si>
  <si>
    <t>Приамурский государственный университет имени Шолом-Алейхема</t>
  </si>
  <si>
    <t>692926.04.01</t>
  </si>
  <si>
    <t>Математика: Уч.пос. / Л.И.Шипова - М.:НИЦ ИНФРА-М,2019 - 238 с.-(СПО)(П)</t>
  </si>
  <si>
    <t>Шипова Л.И., Шипов А.Е.</t>
  </si>
  <si>
    <t>978-5-16-014561-7</t>
  </si>
  <si>
    <t>Допущено Региональным научно-методическим центром при Совете директоров средних специальных заведений Санкт-Петербурга и Ленинградской области в качестве учебного пособия для студентов второго курса среднего профессионального образования, обучающихся по специальностям: 08.02.01, 07.02.01, 08.02.03, 08.02.06, 35.02.12</t>
  </si>
  <si>
    <t>Академия управления городской средой, градостроительства и печати</t>
  </si>
  <si>
    <t>073850.13.01</t>
  </si>
  <si>
    <t>Математика: Уч.пос. / Ю.М.Данилов - М.:НИЦ ИНФРА-М,2022 - 496с.(ВО:Бакалавр.)(П)</t>
  </si>
  <si>
    <t>Данилов Ю.М., Журбенко Л.Н., Никонова Г.А. и др.</t>
  </si>
  <si>
    <t>978-5-16-010118-7</t>
  </si>
  <si>
    <t>636279.08.01</t>
  </si>
  <si>
    <t>Математическая логика и теор.алгорит.: Уч./ А.В.Пруцков -М.:КУРС,НИЦ ИНФРА-М,2023-152с(Бакалавр.)(п)</t>
  </si>
  <si>
    <t>МАТЕМАТИЧЕСКАЯ ЛОГИКА И ТЕОРИЯ АЛГОРИТМОВ</t>
  </si>
  <si>
    <t>Пруцков А.В., Волкова Л.Л.</t>
  </si>
  <si>
    <t>978-5-906818-74-4</t>
  </si>
  <si>
    <t>09.03.04</t>
  </si>
  <si>
    <t>Рекомендовано Научно-методическим советом Федерального государственного бюджетного образовательного учреждения высшего образования «Рязанский государственный радиотехнический университет» в качестве учебника для студентов высших учебных заведений, обучающихся по направлению подготовки «Программная инженерия» (квалификация "Бакалавр")</t>
  </si>
  <si>
    <t>Рязанский государственный радиотехнический университет имени В.Ф. Уткина</t>
  </si>
  <si>
    <t>719223.02.01</t>
  </si>
  <si>
    <t>Математическая логика: Уч.пос. / В.И.Игошин - М.:НИЦ ИНФРА-М,2023 - 399 с.-(СПО)(П)</t>
  </si>
  <si>
    <t>МАТЕМАТИЧЕСКАЯ ЛОГИКА</t>
  </si>
  <si>
    <t>978-5-16-015595-1</t>
  </si>
  <si>
    <t>09.02.02, 09.02.03, 09.02.04, 18.02.12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</si>
  <si>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12 от 24.06.2019)</t>
  </si>
  <si>
    <t>163900.11.01</t>
  </si>
  <si>
    <t>Математическая логика: Уч.пос. / В.И.Игошин-М.:НИЦ ИНФРА-М,2023.-399 с..-(ВО: Бакалавриат)(П)</t>
  </si>
  <si>
    <t>978-5-16-011691-4</t>
  </si>
  <si>
    <t>02.03.02, 02.03.03, 01.03.04, 09.03.04, 02.04.03, 01.04.01, 44.04.01, 09.04.04, 01.03.01, 02.03.01, 44.03.01, 44.03.05, 45.03.03, 45.03.04</t>
  </si>
  <si>
    <t>Рекомендовано УМО по образованию в области подготовки педагогических кадров в качестве учебного пособия для студентов высших учебных заведений, обучающихся по направлению подготовки 44.03.05 «Педагогическое образование» (квалификация (степень) «бакалавр»)</t>
  </si>
  <si>
    <t>672058.03.01</t>
  </si>
  <si>
    <t>Математическая обработка результ. измерений: Уч.пос. / П.С.Шпаков -М.:НИЦ ИНФРА-М, СФУ,2023-409с(ВО)</t>
  </si>
  <si>
    <t>МАТЕМАТИЧЕСКАЯ ОБРАБОТКА РЕЗУЛЬТАТОВ ИЗМЕРЕНИЙ</t>
  </si>
  <si>
    <t>Шпаков П.С., Юнаков Ю.Л.</t>
  </si>
  <si>
    <t>Высшее образование: Специалитет (СФУ)</t>
  </si>
  <si>
    <t>978-5-16-013434-5</t>
  </si>
  <si>
    <t>01.04.01, 01.06.01</t>
  </si>
  <si>
    <t>Допущено Учебно-методическим объединением вузов Российской Федерации по образованию в области горного дела в качестве учебного пособия для студентов вузов, обучающихся по направлению подготовки (специальности) «Горное дело» и «Физические процессы горного или нефтегазового производства»</t>
  </si>
  <si>
    <t>461550.06.01</t>
  </si>
  <si>
    <t>Математическая статистика: Уч.пос. / Р.Ш. Хуснутдинов - М.: НИЦ ИНФРА-М, 2023 - 205 с. (ВО) (о)</t>
  </si>
  <si>
    <t>МАТЕМАТИЧЕСКАЯ СТАТИСТИКА</t>
  </si>
  <si>
    <t>Хуснутдинов Р.Ш.</t>
  </si>
  <si>
    <t>978-5-16-009520-2</t>
  </si>
  <si>
    <t>03.03.01, 03.03.02, 01.03.04, 02.04.03, 01.04.04, 01.04.01, 02.04.01, 01.04.02, 01.05.01, 01.03.01, 02.03.01, 01.03.02</t>
  </si>
  <si>
    <t>778790.01.01</t>
  </si>
  <si>
    <t>Математические задачи принятия реш...: Моногр. / А.Ф.Тараканов-М.:НИЦ ИНФРА-М,2022.-342 с.(О)</t>
  </si>
  <si>
    <t>МАТЕМАТИЧЕСКИЕ ЗАДАЧИ ПРИНЯТИЯ РЕШЕНИЙ В ДИНАМИЧЕСКИХ ОРГАНИЗАЦИОННЫХ СИСТЕМАХ</t>
  </si>
  <si>
    <t>Тараканов А.Ф.</t>
  </si>
  <si>
    <t>978-5-16-017744-1</t>
  </si>
  <si>
    <t>45.04.04, 02.04.01, 09.04.03, 15.04.04, 02.06.01, 09.06.01, 15.06.01</t>
  </si>
  <si>
    <t>Военно-воздушная академия им. профессора Н.Е. Жуковского и Ю.А. Гагарина (г. Воронеж), ф-л г.Челябин</t>
  </si>
  <si>
    <t>701115.02.01</t>
  </si>
  <si>
    <t>Математические задачи принятия реш.в орг.системах:Моногр./ А.Ф.Тараканов-М.:НИЦ ИНФРА-М,2023-246с(П)</t>
  </si>
  <si>
    <t>МАТЕМАТИЧЕСКИЕ ЗАДАЧИ ПРИНЯТИЯ РЕШЕНИЙ В ОРГАНИЗАЦИОННЫХ СИСТЕМАХ</t>
  </si>
  <si>
    <t>978-5-16-014807-6</t>
  </si>
  <si>
    <t>38.04.02, 38.04.04, 38.04.05, 38.03.01</t>
  </si>
  <si>
    <t>075550.14.01</t>
  </si>
  <si>
    <t>Математические методы в программир.: Уч. / В.П.Агальцов-2 изд.-М.:ИД Форум, НИЦ ИНФРА-М,2023-240с.(СПО)(П)</t>
  </si>
  <si>
    <t>МАТЕМАТИЧЕСКИЕ МЕТОДЫ В ПРОГРАММИРОВАНИИ, ИЗД.2</t>
  </si>
  <si>
    <t>Агальцов В.П.</t>
  </si>
  <si>
    <t>978-5-8199-0410-7</t>
  </si>
  <si>
    <t>10.02.04, 10.02.05</t>
  </si>
  <si>
    <t>Рекомендовано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</si>
  <si>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0210</t>
  </si>
  <si>
    <t>267200.05.01</t>
  </si>
  <si>
    <t>Математические методы в современных социал. науках: Уч. пос./Г.В.Осипов - М:Норма:ИНФРА-М,2023-384с. (п)</t>
  </si>
  <si>
    <t>МАТЕМАТИЧЕСКИЕ МЕТОДЫ В СОВРЕМЕННЫХ СОЦИАЛЬНЫХ НАУКАХ</t>
  </si>
  <si>
    <t>Осипов Г. В., Лисичкин В. А., Садовничий В. А.</t>
  </si>
  <si>
    <t>Социальные науки и математика</t>
  </si>
  <si>
    <t>978-5-91768-470-3</t>
  </si>
  <si>
    <t>679425.04.01</t>
  </si>
  <si>
    <t>Математические методы поддержки принятия реш.: Уч.пос. / В.А.Осипова - М.:НИЦ ИНФРА-М,2023 - 134 с.(ВО)(П)</t>
  </si>
  <si>
    <t>МАТЕМАТИЧЕСКИЕ МЕТОДЫ ПОДДЕРЖКИ ПРИНЯТИЯ РЕШЕНИЙ</t>
  </si>
  <si>
    <t>Осипова В.А., Алексеев Н.С.</t>
  </si>
  <si>
    <t>978-5-16-014248-7</t>
  </si>
  <si>
    <t>02.03.02, 38.03.04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</si>
  <si>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направлениям подготовки магистратуры</t>
  </si>
  <si>
    <t>728023.05.01</t>
  </si>
  <si>
    <t>Математические методы принятия управ. решений: Уч.пос. / Г.С.Жукова-М.:НИЦ ИНФРА-М,2023.-212 с.(ВО)(П)</t>
  </si>
  <si>
    <t>МАТЕМАТИЧЕСКИЕ МЕТОДЫ ПРИНЯТИЯ УПРАВЛЕНЧЕСКИХ РЕШЕНИЙ</t>
  </si>
  <si>
    <t>978-5-16-018725-9</t>
  </si>
  <si>
    <t>38.03.01, 38.03.02</t>
  </si>
  <si>
    <t>Рекомендовано Министерством образования и науки Российской Федерации в качестве учебного пособия для студентов высших учебных заведений, обучающихся по экономическим специальностям</t>
  </si>
  <si>
    <t>700727.02.01</t>
  </si>
  <si>
    <t>Математические модели в упр. производством меди: Моногр. / Н.В.Васильева - М.:НИЦ ИНФРА-М,2023-194 с.(О)</t>
  </si>
  <si>
    <t>МАТЕМАТИЧЕСКИЕ МОДЕЛИ В УПРАВЛЕНИИ ПРОИЗВОДСТВОМ МЕДИ: ИДЕИ, МЕТОДЫ, ПРИМЕРЫ</t>
  </si>
  <si>
    <t>Васильева Н.В.</t>
  </si>
  <si>
    <t>978-5-16-014986-8</t>
  </si>
  <si>
    <t>13.04.01, 22.04.02, 22.04.01, 22.06.01</t>
  </si>
  <si>
    <t>Санкт-Петербургский горный университет</t>
  </si>
  <si>
    <t>653221.08.01</t>
  </si>
  <si>
    <t>Математические модели упр. проектами: Уч. / И.Н.Царьков - М.:НИЦ ИНФРА-М,2024-514 с.(ВО:Магистр.)(П)</t>
  </si>
  <si>
    <t>МАТЕМАТИЧЕСКИЕ МОДЕЛИ УПРАВЛЕНИЯ ПРОЕКТАМИ</t>
  </si>
  <si>
    <t>Царьков И.Н.</t>
  </si>
  <si>
    <t>978-5-16-012831-3</t>
  </si>
  <si>
    <t>01.03.04, 09.03.04, 01.04.04, 38.04.02, 09.04.04, 38.03.02</t>
  </si>
  <si>
    <t>634193.07.01</t>
  </si>
  <si>
    <t>Математические олимпиады студентов технических вузов /М.И.Деркач-М.:Вуз.уч.,НИЦ ИНФРА-М,2024-112с(о)</t>
  </si>
  <si>
    <t>МАТЕМАТИЧЕСКИЕ ОЛИМПИАДЫ СТУДЕНТОВ ТЕХНИЧЕСКИХ ВУЗОВ</t>
  </si>
  <si>
    <t>Деркач М.И.</t>
  </si>
  <si>
    <t>978-5-9558-0521-4</t>
  </si>
  <si>
    <t>727955.02.01</t>
  </si>
  <si>
    <t>Математический анализ в примерах и задачах: Уч.пос.: Ч.1 / Г.С.Жукова - М.:НИЦ ИНФРА-М,2022 - 260 с.(ВО)(П)</t>
  </si>
  <si>
    <t>МАТЕМАТИЧЕСКИЙ АНАЛИЗ В ПРИМЕРАХ И ЗАДАЧАХ. ЧАСТЬ 1, Т.1</t>
  </si>
  <si>
    <t>Жукова Г.С., Рушайло М.Ф.</t>
  </si>
  <si>
    <t>978-5-16-015963-8</t>
  </si>
  <si>
    <t>02.03.02, 04.03.02, 02.03.03, 03.03.02, 09.03.04, 38.03.01, 38.03.05, 38.03.02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</si>
  <si>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естественно-научным и экономическим направлениям подготовки (квалификация (степень) «бакалавр») (протокол № 2 от 03.02.2020)</t>
  </si>
  <si>
    <t>727958.02.01</t>
  </si>
  <si>
    <t>Математический анализ в примерах и задачах: Уч.пос.: Ч.2 / Г.С.Жукова - М.:НИЦ ИНФРА-М,2022  -544 с.(ВО)(П)</t>
  </si>
  <si>
    <t>МАТЕМАТИЧЕСКИЙ АНАЛИЗ В ПРИМЕРАХ И ЗАДАЧАХ. ЧАСТЬ 2, Т.2</t>
  </si>
  <si>
    <t>978-5-16-015965-2</t>
  </si>
  <si>
    <t>02.03.02, 04.03.02, 02.03.03, 03.03.02, 01.03.04, 09.03.04, 11.03.02, 38.03.01, 38.03.05, 38.03.02</t>
  </si>
  <si>
    <t>316800.05.01</t>
  </si>
  <si>
    <t>Математический анализ для эконом.:практ.:Уч.пос./Т.И.Демина-М.:НИЦ ИНФРА-М,2024-365с(ВО:Бакалавриат)(п)</t>
  </si>
  <si>
    <t>МАТЕМАТИЧЕСКИЙ АНАЛИЗ ДЛЯ ЭКОНОМИСТОВ:ПРАКТИКУМ</t>
  </si>
  <si>
    <t>Демина Т.И., Шевякова О.П.</t>
  </si>
  <si>
    <t>978-5-16-010388-4</t>
  </si>
  <si>
    <t>Допущено УМО по образованию в области прикладной информатики, статистики, антикризисного управления и математических методов в качестве учебного пособия для студентов, обучающихся по направлению подготовки бакалавров 38.03.01 «Экономика»</t>
  </si>
  <si>
    <t>Майкопский государственный технологический университет</t>
  </si>
  <si>
    <t>734496.01.01</t>
  </si>
  <si>
    <t>Математический анализ. Сборник задач и решений с прим.системы Maple: Уч.пос. / О.С.Кузнецова-М.:НИЦ ИНФРА-М,2021.-375 с(П)</t>
  </si>
  <si>
    <t>МАТЕМАТИЧЕСКИЙ АНАЛИЗ. СБОРНИК ЗАДАЧ И РЕШЕНИЙ С ПРИМЕНЕНИЕМ СИСТЕМЫ MAPLE</t>
  </si>
  <si>
    <t>Кузнецова О.С., Кирсанов М.Н.</t>
  </si>
  <si>
    <t>978-5-16-016476-2</t>
  </si>
  <si>
    <t>38.03.10, 18.03.01, 11.03.01, 11.03.02, 11.03.03, 11.03.04, 12.03.03, 12.03.04, 12.03.01, 12.03.02, 12.03.05, 13.03.02, 14.03.02, 13.03.03, 16.03.03, 14.03.01, 16.03.01, 16.03.02, 22.03.02, 13.03.01, 15.03.02, 22.03.01, 15.03.01, 15.03.03, 15.03.04, 15.03.06, 15.03.05, 24.03.01, 18.03.02, 01.03.01, 38.03.01, 38.03.05, 38.03.06, 38.03.07, 38.03.02, 38.03.04, 38.03.03, 45.03.04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</si>
  <si>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 по техническим и экономическим направлениям подготовки (квалификация (степень) «бакалавр») (протокол № 8 от 22.06.2020)</t>
  </si>
  <si>
    <t>293100.06.01</t>
  </si>
  <si>
    <t>Математический анализ. Теория и практика: Уч. пос./В.С.Шипачев - 3 изд. - ИНФРА-М, 2023-351с.(ВО)(П)</t>
  </si>
  <si>
    <t>МАТЕМАТИЧЕСКИЙ АНАЛИЗ. ТЕОРИЯ И ПРАКТИКА, ИЗД.3</t>
  </si>
  <si>
    <t>978-5-16-010073-9</t>
  </si>
  <si>
    <t>01.04.01, 01.03.01, 02.03.01</t>
  </si>
  <si>
    <t>301000.05.01</t>
  </si>
  <si>
    <t>Математический анализ: N-мерное пространство..: Уч. / В.Е.Барбаумов - М.:НИЦ ИНФРА-М,2024 - 341с.(ВО)</t>
  </si>
  <si>
    <t>МАТЕМАТИЧЕСКИЙ АНАЛИЗ: N-МЕРНОЕ ПРОСТРАНСТВО. ФУНКЦИИ. ЭКСТРЕМУМЫ</t>
  </si>
  <si>
    <t>Барбаумов В.Е., Попова Н.В.</t>
  </si>
  <si>
    <t>978-5-16-011829-1</t>
  </si>
  <si>
    <t>01.00.00, 02.03.02, 04.03.02, 02.03.03, 03.03.02, 03.03.03, 01.03.03, 01.03.04, 09.03.04, 11.03.02, 24.03.01, 38.04.01, 01.03.01, 02.03.01, 01.03.02, 38.03.01, 45.03.04</t>
  </si>
  <si>
    <t>Рекомендовано в качестве учебника для студентов высших учебных заведений, обучающихся по УГС 38.00.00 «Экономика и управление» (квалификация (степень) «бакалавр»)</t>
  </si>
  <si>
    <t>206600.07.01</t>
  </si>
  <si>
    <t>Математический анализ: сб. задач с реш.: Уч. пос. / В.Г.Шершнев - НИЦ ИНФРА-М,2023 - 164с.(ВО)</t>
  </si>
  <si>
    <t>МАТЕМАТИЧЕСКИЙ АНАЛИЗ: СБОРНИК ЗАДАЧ С РЕШЕНИЯМИ</t>
  </si>
  <si>
    <t>Шершнев В.Г.</t>
  </si>
  <si>
    <t>978-5-16-018502-6</t>
  </si>
  <si>
    <t>38.04.09, 38.04.01, 38.04.08, 38.04.02, 38.04.03, 38.04.04, 38.04.05, 38.03.01, 38.03.05, 38.03.02, 38.03.04, 38.03.03, 41.03.06</t>
  </si>
  <si>
    <t>Рекомендовано в качестве учебного пособия студентам высших учебных заведений, обучающимся по направлению подготовки 38.03.01 «Экономика» (квалификация (степень) «бакалавр»)</t>
  </si>
  <si>
    <t>214300.07.01</t>
  </si>
  <si>
    <t>Математический анализ: Уч. пос./ В.Г. Шершнев. - М.: НИЦ ИНФРА-М, 2023. - 288 с. (ВО: Бакалавр.)(П)</t>
  </si>
  <si>
    <t>МАТЕМАТИЧЕСКИЙ АНАЛИЗ</t>
  </si>
  <si>
    <t>Шершнев В. Г.</t>
  </si>
  <si>
    <t>978-5-16-005488-9</t>
  </si>
  <si>
    <t>Рекомендовано в качестве учебного пособия для студентов высших учебных заведений, обучающихся по направлению 38.03.01 «Экономика»</t>
  </si>
  <si>
    <t>727995.03.01</t>
  </si>
  <si>
    <t>Математический анализ: Уч.: Т.1 / Под ред. Жуковой Г.С. - М.:НИЦ ИНФРА-М,2024-388 с.(ВО)(п)</t>
  </si>
  <si>
    <t>МАТЕМАТИЧЕСКИЙ АНАЛИЗ. ТОМ 1, Т.1</t>
  </si>
  <si>
    <t>Жукова Г.С., Рушайло М.Ф., Жукова Г.С.</t>
  </si>
  <si>
    <t>978-5-16-019247-5</t>
  </si>
  <si>
    <t>04.03.02, 04.03.01, 05.03.01, 02.03.01, 38.03.01, 38.03.05, 38.03.02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</si>
  <si>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естественно-научным и экономическим направлениям подготовки (квалификация (степень) «бакалавр») (протокол № 2 от 03.02.2020)</t>
  </si>
  <si>
    <t>727999.02.01</t>
  </si>
  <si>
    <t>Математический анализ: Уч.: Т.2 / Под ред. Жуковой Г.С. - М.:НИЦ ИНФРА-М,2024-518 с..-(ВО)(п)</t>
  </si>
  <si>
    <t>МАТЕМАТИЧЕСКИЙ АНАЛИЗ. ТОМ 2, Т.2</t>
  </si>
  <si>
    <t>978-5-16-019221-5</t>
  </si>
  <si>
    <t>04.03.02, 03.03.01, 03.03.02, 03.03.03, 04.03.01, 01.03.02, 38.03.01, 38.03.05, 38.03.02, 00.00.00</t>
  </si>
  <si>
    <t>729532.05.01</t>
  </si>
  <si>
    <t>Математический анализ: Уч.пос. / А.В.Пантелеев. - М.:НИЦ ИНФРА-М,2024 - 502 с.(ВО: Бакалавр.)(П)</t>
  </si>
  <si>
    <t>Пантелеев А.В., Савостьянова Н.И., Федорова Н.М.</t>
  </si>
  <si>
    <t>978-5-16-016008-5</t>
  </si>
  <si>
    <t>04.03.02, 02.03.03, 03.03.02, 03.03.03, 01.03.03, 01.03.04, 09.03.04, 11.03.02, 24.03.01, 21.05.04, 01.03.01, 02.03.01, 38.03.01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</si>
  <si>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негуманитарным направлениям подготовки (квалификация (степень) «бакалавр») (протокол № 17 от 11.11.2019)</t>
  </si>
  <si>
    <t>642385.05.01</t>
  </si>
  <si>
    <t>Математическое и имитац. моделирование: Уч.пос. / А.И.Безруков-М.:НИЦ ИНФРА-М,2023-227с(ВО:Бак.)(П)</t>
  </si>
  <si>
    <t>МАТЕМАТИЧЕСКОЕ И ИМИТАЦИОННОЕ МОДЕЛИРОВАНИЕ</t>
  </si>
  <si>
    <t>Безруков А.И., Алексенцева О.Н.</t>
  </si>
  <si>
    <t>978-5-16-012709-5</t>
  </si>
  <si>
    <t>01.03.04, 38.04.01, 38.04.05, 38.03.01, 38.03.05</t>
  </si>
  <si>
    <t>Рекомендовано в качестве учебного пособия для студентов высших учебных заведений, обучающихся по направлениям подготовки 01.03.04 «Прикладная математика», 38.03.05 «Бизнес-информатика» (квалификация (степень) «бакалавр»)</t>
  </si>
  <si>
    <t>Саратовский государственный технический университет им. Гагарина Ю.А., ф-л Саратовский социально-экономический институт</t>
  </si>
  <si>
    <t>719810.04.01</t>
  </si>
  <si>
    <t>Математическое моделир. и проектир.: Уч.пос./ Под ред. Коломейченко А.С.-М.:НИЦ ИНФРА-М,2023-181с.(СПО)(П)</t>
  </si>
  <si>
    <t>МАТЕМАТИЧЕСКОЕ МОДЕЛИРОВАНИЕ И ПРОЕКТИРОВАНИЕ</t>
  </si>
  <si>
    <t>Коломейченко А.С., Кравченко И.Н., Ставцев А.Н. и др.</t>
  </si>
  <si>
    <t>978-5-16-015651-4</t>
  </si>
  <si>
    <t>38.02.01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</si>
  <si>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35.02.05 «Агрономия» (протокол № 12 от 24.06.2019)</t>
  </si>
  <si>
    <t>Орловский государственный аграрный университет им. Н.В. Парахина</t>
  </si>
  <si>
    <t>42</t>
  </si>
  <si>
    <t>632560.12.01</t>
  </si>
  <si>
    <t>Математическое моделирование технических систем: Уч. / В.П.Тарасик-М.:НИЦ ИНФРА-М,2024-592 с.(ВО)(П)</t>
  </si>
  <si>
    <t>МАТЕМАТИЧЕСКОЕ МОДЕЛИРОВАНИЕ ТЕХНИЧЕСКИХ СИСТЕМ</t>
  </si>
  <si>
    <t>Тарасик В.П.</t>
  </si>
  <si>
    <t>978-5-16-011996-0</t>
  </si>
  <si>
    <t>23.04.02, 23.05.01, 23.03.02</t>
  </si>
  <si>
    <t>Допущено УМО вузов РФ по образованию в области транспортных машин и транспортно-технологических комплексов в качестве учебника для студентов вузов, обучающихся по специальности 23.05.01 «Наземные транспортно-технологические средства». Утверждено Министерством образования Республики Беларусь в качестве учебника для студентов учреждений высшего образования по техническим специальностям</t>
  </si>
  <si>
    <t>722474.06.01</t>
  </si>
  <si>
    <t>Машинный интеллект: Очерки по теории машинного обуч. / С.А.Шумский-М.:ИЦ РИОР, НИЦ ИНФРА-М,2024-340с(П)</t>
  </si>
  <si>
    <t>МАШИННЫЙ ИНТЕЛЛЕКТ</t>
  </si>
  <si>
    <t>Шумский С.А.</t>
  </si>
  <si>
    <t>Наука и практика</t>
  </si>
  <si>
    <t>978-5-369-01832-3</t>
  </si>
  <si>
    <t>Научное издание</t>
  </si>
  <si>
    <t>10.04.01, 02.04.01, 02.04.02, 01.04.02, 38.04.05, 15.04.04</t>
  </si>
  <si>
    <t>Московский физико-технический институт (национальный исследовательский университет)</t>
  </si>
  <si>
    <t>412450.07.01</t>
  </si>
  <si>
    <t>Метеорология и климатология: Уч.пос. / Г.И.Пиловец - М.:НИЦ ИНФРА-М, Нов. знание,2023 - 399 с(ВО)(п)</t>
  </si>
  <si>
    <t>МЕТЕОРОЛОГИЯ И КЛИМАТОЛОГИЯ</t>
  </si>
  <si>
    <t>Пиловец Г. И.</t>
  </si>
  <si>
    <t>978-5-16-006463-5</t>
  </si>
  <si>
    <t>05.02.02, 20.02.01, 05.03.02, 05.03.04, 05.04.02, 05.04.04</t>
  </si>
  <si>
    <t>Допущено Министерством образования Республики Белорусь в качестве учебного пособия для студентов вузов по географическим специальностям</t>
  </si>
  <si>
    <t>Витебский государственный университет им. П.М. Машерова</t>
  </si>
  <si>
    <t>461750.07.01</t>
  </si>
  <si>
    <t>Методика геоэкологических исследований: Уч. пос./ М.Г. Ясовеев - М.: НИЦ ИНФРА-М, 2023 - 292с. (п)</t>
  </si>
  <si>
    <t>МЕТОДИКА ГЕОЭКОЛОГИЧЕСКИХ ИССЛЕДОВАНИЙ</t>
  </si>
  <si>
    <t>Ясовеев М.Г., Стреха Н.Л., Шевцова Н.С. и др.</t>
  </si>
  <si>
    <t>978-5-16-009534-9</t>
  </si>
  <si>
    <t>21.02.12, 21.02.13, 21.02.10, 21.02.15, 21.02.16, 21.02.02, 21.02.01, 05.03.02, 05.03.06, 05.04.02, 05.04.06</t>
  </si>
  <si>
    <t>634606.07.01</t>
  </si>
  <si>
    <t>Методика и техника полевых палеонтолого..: Уч.пос. / И.С.Барсков - 2 изд.-М.:НИЦ ИНФРА-М,2024-116с.(о)</t>
  </si>
  <si>
    <t>МЕТОДИКА И ТЕХНИКА ПОЛЕВЫХ ПАЛЕОНТОЛОГО-СТРАТИГРАФИЧЕСКИХ ИССЛЕДОВАНИЙ, ИЗД.2</t>
  </si>
  <si>
    <t>Барсков И.С., Янин Б.Т.</t>
  </si>
  <si>
    <t>978-5-16-019129-4</t>
  </si>
  <si>
    <t>Рекомендовано в качестве учебного пособия для студентов высших учебных заведений, обучающихся по направлению подготовки 05.03.01 "Геология" (квалификация (степень) "бакалавр")</t>
  </si>
  <si>
    <t>633747.06.01</t>
  </si>
  <si>
    <t>Методологические основы инновац.и науч.творч.: Уч.пос. / В.И.Бесшапошникова - М.:НИЦ ИНФРА-М,2023 - 180с.(О)</t>
  </si>
  <si>
    <t>МЕТОДОЛОГИЧЕСКИЕ ОСНОВЫ ИННОВАЦИЙ И НАУЧНОГО ТВОРЧЕСТВА</t>
  </si>
  <si>
    <t>Бесшапошникова В.И.</t>
  </si>
  <si>
    <t>978-5-16-012078-2</t>
  </si>
  <si>
    <t>27.03.01, 29.04.02</t>
  </si>
  <si>
    <t>Допущено к изданию редакционно-издательским советом университета в качестве учебного пособия для подготовки бакалавров и магистров по направлениям 27.03.01 "Стандартизация и метрология», 29.04.02 «Технологии и проектирование текстильных изделий»</t>
  </si>
  <si>
    <t>Российский государственный университет им. А.Н. Косыгина</t>
  </si>
  <si>
    <t>412650.06.01</t>
  </si>
  <si>
    <t>Методология науки и инновац. деят.: Пос. / В.П.Старжинский - М.:НИЦ ИНФРА-М, Нов.знание,2023-327с(П)</t>
  </si>
  <si>
    <t>МЕТОДОЛОГИЯ НАУКИ И ИННОВАЦИОННАЯ ДЕЯТЕЛЬНОСТЬ</t>
  </si>
  <si>
    <t>Старжинский В. П., Цепкало В. В.</t>
  </si>
  <si>
    <t>978-5-16-006464-2</t>
  </si>
  <si>
    <t>00.05.16, 38.04.09, 38.04.07, 14.04.02, 38.04.01, 38.04.08, 38.04.06, 38.04.02, 38.04.03, 38.04.04, 38.04.05, 13.04.01, 13.04.02, 16.04.02, 14.04.01, 16.04.01, 13.04.03, 16.04.03, 22.04.02, 15.04.03, 15.04.01, 22.04.01, 15.04.02, 15.04.05, 15.04.04, 15.04.06</t>
  </si>
  <si>
    <t>Пособие для аспирантов, магистрантов и соискателей ученой степени кандидата наук технических и экономических специальностей</t>
  </si>
  <si>
    <t>Белорусский национальный технический университет</t>
  </si>
  <si>
    <t>693384.05.01</t>
  </si>
  <si>
    <t>Методология науч. исслед. (в кандидат. и докторских диссертациях): Уч./ Г.Д.Боуш-М.:НИЦ ИНФРА-М,2023-227с.(ВО)(П)</t>
  </si>
  <si>
    <t>МЕТОДОЛОГИЯ НАУЧНОГО ИССЛЕДОВАНИЯ (В КАНДИДАТСКИХ И ДОКТОРСКИХ ДИССЕРТАЦИЯХ)</t>
  </si>
  <si>
    <t>Боуш Г.Д., Разумов В.И.</t>
  </si>
  <si>
    <t>Высшее образование: Аспирантура</t>
  </si>
  <si>
    <t>978-5-16-018520-0</t>
  </si>
  <si>
    <t>00.04.16, 38.06.01, 40.06.01</t>
  </si>
  <si>
    <t>Омский государственный университет им. Ф.М. Достоевского</t>
  </si>
  <si>
    <t>238800.14.01</t>
  </si>
  <si>
    <t>Методология науч. исследования: Уч. / А.О.Овчаров, - 2 изд.-М.:НИЦ ИНФРА-М,2023.-310 с.(ВО: Магистр.)(П)</t>
  </si>
  <si>
    <t>МЕТОДОЛОГИЯ НАУЧНОГО ИССЛЕДОВАНИЯ, ИЗД.2</t>
  </si>
  <si>
    <t>Овчаров А.О., Овчарова Т.Н.</t>
  </si>
  <si>
    <t>978-5-16-017366-5</t>
  </si>
  <si>
    <t>00.03.16, 00.05.16, 00.04.16, 38.04.09, 38.04.07, 38.04.01, 38.04.08, 38.04.06, 38.04.02, 38.04.03, 38.04.04, 38.04.05</t>
  </si>
  <si>
    <t>Рекомендовано УМО вузов России по образованию в области финансов, учета и мировой экономики в качестве учебника для студентов, обучающихся по направлению подготовки 38.04.01 «Экономика»</t>
  </si>
  <si>
    <t>Национальный исследовательский Нижегородский государственный университет им. Н.И. Лобачевского</t>
  </si>
  <si>
    <t>690269.06.01</t>
  </si>
  <si>
    <t>Методология научных исследований ..: Уч. / Г.Д.Боуш-М.:НИЦ ИНФРА-М,2023-210 с.(ВО: Бакалавриат)(П)</t>
  </si>
  <si>
    <t>МЕТОДОЛОГИЯ НАУЧНЫХ ИССЛЕДОВАНИЙ (В КУРСОВЫХ И ВЫПУСКНЫХ КВАЛИФИКАЦИОННЫХ РАБОТАХ)</t>
  </si>
  <si>
    <t>978-5-16-014583-9</t>
  </si>
  <si>
    <t>Рекомендовано Учебно-методическим советом ВО в качестве учебника для учебных учреждений, реализующих программу высшего образования по направлениям подготовки бакалавриата, специалитета и магистратуры</t>
  </si>
  <si>
    <t>369000.04.01</t>
  </si>
  <si>
    <t>Методология формир. моделей взаимод. чел..: Моногр./ В.М.Пищулов-М.:НИЦ ИНФРА-М,2023.-218 с.(Науч.мысль)(П)</t>
  </si>
  <si>
    <t>МЕТОДОЛОГИЯ ФОРМИРОВАНИЯ МОДЕЛЕЙ ВЗАИМОДЕЙСТВИЯ ЧЕЛОВЕКА С ОКРУЖАЮЩЕЙ СРЕДОЙ</t>
  </si>
  <si>
    <t>978-5-16-011882-6</t>
  </si>
  <si>
    <t>648206.02.01</t>
  </si>
  <si>
    <t>Методология эксперимента: Уч. пос. / Э.А.Соснин - М.:НИЦ ИНФРА-М,2017 - 162 с.-(ВО: Магистратура)(П)</t>
  </si>
  <si>
    <t>МЕТОДОЛОГИЯ ЭКСПЕРИМЕНТА</t>
  </si>
  <si>
    <t>Соснин Э.А., Пойзнер Б.Н.</t>
  </si>
  <si>
    <t>978-5-16-012591-6</t>
  </si>
  <si>
    <t>14.03.01, 16.03.01, 44.04.04, 15.04.01, 27.04.02, 27.04.01, 15.04.04, 15.04.06, 27.04.05</t>
  </si>
  <si>
    <t>Рекомендовано кафедрой квантовой электроники и фотоники ФГАОУ ВО «Национальный исследовательский Томский государственный университет» для обучения магистрантов по направлениям подготовки 03.04.03 «Радиофизика», 12.04.03 «Фотоника и оптоинформатика», 12.04.02 «Оптотехника», аспирантов по направлению подготовки 03.06.01 «Физика и астрономия»</t>
  </si>
  <si>
    <t>Национальный исследовательский Томский государственный университет</t>
  </si>
  <si>
    <t>648206.07.01</t>
  </si>
  <si>
    <t>Методология эксперимента: Уч.пос. / Э.А.Соснин - 2 изд. - М.:НИЦ ИНФРА-М,2023 - 162 с.-(ВО)(П)</t>
  </si>
  <si>
    <t>МЕТОДОЛОГИЯ ЭКСПЕРИМЕНТА, ИЗД.2</t>
  </si>
  <si>
    <t>Рекомендовано Федеральным учебно-методическим объединением в системе высшего образования по укрупненной группе специальностей и направлений подготовки 12.00.00 «Фотоника, приборостроение, оптические и биотехнические системы и технологии» в качестве учебного пособия для реализации образовательных программ высшего образования по направлениям подготовки магистратуры 12.04.02 «Оптотехника», 12.04.03 «Фотоника и оптоинформатика»</t>
  </si>
  <si>
    <t>683434.03.01</t>
  </si>
  <si>
    <t>Методы и приборы контроля окружающей среды: Уч.пос. / Л.Е.Пустовая-М.:НИЦ ИНФРА-М,2023.-246 с.(ВО)(П)</t>
  </si>
  <si>
    <t>МЕТОДЫ И ПРИБОРЫ КОНТРОЛЯ ОКРУЖАЮЩЕЙ СРЕДЫ. ЭКОЛОГИЧЕСКИЙ МОНИТОРИНГ</t>
  </si>
  <si>
    <t>Пустовая Л.Е., Месхи Б.Ч.</t>
  </si>
  <si>
    <t>978-5-16-018522-4</t>
  </si>
  <si>
    <t>20.03.01, 12.03.04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</si>
  <si>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подготовки, 12.03.04 «Биотехнические системы и технологии», 20.03.01 «Техносферная безопасность» (квалификация (степень) «бакалавр») (протокол № 6 от 16.06.2021)</t>
  </si>
  <si>
    <t>Донской государственный технический университет ф-л Азовский технологический институт</t>
  </si>
  <si>
    <t>479900.08.01</t>
  </si>
  <si>
    <t>Методы контроля качества окр. среды: Уч.пос. / Н.А.Политаева-М.:НИЦ ИНФРА-М,2023.-112 с.(ВО: Бакалавр.)(О)</t>
  </si>
  <si>
    <t>МЕТОДЫ КОНТРОЛЯ КАЧЕСТВА ОКРУЖАЮЩЕЙ СРЕДЫ</t>
  </si>
  <si>
    <t>Политаева Н.А.</t>
  </si>
  <si>
    <t>978-5-16-016500-4</t>
  </si>
  <si>
    <t>21.02.10, 05.03.06, 20.03.01</t>
  </si>
  <si>
    <t>Рекомендовано в качестве учебного пособия для студентов высших учебных заведений, обучающихся по направлениям 18.03.02 «Энерго- и ресурсосберегающие процессы в химической технологии, нефтехимии и биотехнологии» и 20.03.01 «Техносферная безопасность»</t>
  </si>
  <si>
    <t>Санкт-Петербургский государственный политехнический университет Петра Великого</t>
  </si>
  <si>
    <t>668587.04.01</t>
  </si>
  <si>
    <t>Методы матем. физики: Уч.пос./ В.А.Барашков-М.:НИЦ ИНФРА-М, СФУ,2023-149 с.(ВО: Бакалавриат (СФУ))(П)</t>
  </si>
  <si>
    <t>МЕТОДЫ МАТЕМАТИЧЕСКОЙ ФИЗИКИ</t>
  </si>
  <si>
    <t>Барашков В.А.</t>
  </si>
  <si>
    <t>Высшее образование: Бакалавриат (СФУ)</t>
  </si>
  <si>
    <t>978-5-16-013302-7</t>
  </si>
  <si>
    <t>00.03.12, 11.03.01, 11.03.02, 11.03.03, 11.03.04, 12.03.03, 12.03.04, 12.03.01, 12.03.02, 12.03.05</t>
  </si>
  <si>
    <t>Рекомендовано Учебно-методическим объединением по образованию в области радиотехники, электроники, биомедицинской техники и автоматизации в качестве учебного пособия для студентов вузов по направлению 11.03.03 «Конструирование и технология электронных средств»</t>
  </si>
  <si>
    <t>397400.03.01</t>
  </si>
  <si>
    <t>Методы морск. геолог. иссл.: Уч. / О.А.Серебрякова - М.: Альфа-М, НИЦ ИНФРА-М, 2023 -244с  (П)</t>
  </si>
  <si>
    <t>МЕТОДЫ МОРСКИХ ГЕОЛОГИЧЕСКИХ ИССЛЕДОВАНИЙ</t>
  </si>
  <si>
    <t>Серебрякова О.А.</t>
  </si>
  <si>
    <t>Альфа-М</t>
  </si>
  <si>
    <t>Высшая школа: Магистратура</t>
  </si>
  <si>
    <t>978-5-98281-435-7</t>
  </si>
  <si>
    <t>288000.06.01</t>
  </si>
  <si>
    <t>Методы определения термодинам...: Уч.пос. / Н.М.Хохлачева и др. - М.:НИЦ ИНФРА-М,2022 - 194 с.(О)</t>
  </si>
  <si>
    <t>МЕТОДЫ ОПРЕДЕЛЕНИЯ ТЕРМОДИНАМИЧЕСКИХ ХАРАКТЕРИСТИК ВЕЩЕСТВ, ХИМИЧЕСКИХ РЕАКЦИЙ И РАСТВОРОВ</t>
  </si>
  <si>
    <t>Хохлачева Н.М., Ильина Е.Б., Мареичева Е.Е. и др.</t>
  </si>
  <si>
    <t>Высшее образование: Бакалавриат (МАТИ-МАИ)</t>
  </si>
  <si>
    <t>978-5-16-011813-0</t>
  </si>
  <si>
    <t>04.03.02, 04.03.01, 20.03.01, 22.03.02, 22.03.01, 22.04.02, 22.04.01, 20.04.01</t>
  </si>
  <si>
    <t>Допущено Учебно-методическим объединением высших учебных заведений Российской Федерации по образованию в области материаловедения, технологий материалов и покрытий в качестве учебного пособия для студентов, обучающихся по направлению подготовки бакалавров 22.03.01 «Материаловедение и технологии материалов»</t>
  </si>
  <si>
    <t>175150.11.01</t>
  </si>
  <si>
    <t>Методы оптимизации: Уч. пос. /А.В. Аттетков -М.: ИЦ РИОР, НИЦ ИНФРА-М, 2023-270с. (ВО:Бакалавр.) (П)</t>
  </si>
  <si>
    <t>МЕТОДЫ ОПТИМИЗАЦИИ</t>
  </si>
  <si>
    <t>Аттетков А. В., Зарубин В. С., Канатников А. Н.</t>
  </si>
  <si>
    <t>978-5-369-01037-2</t>
  </si>
  <si>
    <t>02.03.02, 04.03.02, 03.03.02, 01.03.04, 02.04.01, 02.04.02, 24.04.03, 28.04.02, 09.04.01, 02.03.01, 01.03.02, 24.03.03</t>
  </si>
  <si>
    <t>Рекомендовано Министерством образования РФ в качестве учебного пособия для студентов высших учебных заведений</t>
  </si>
  <si>
    <t>700766.03.01</t>
  </si>
  <si>
    <t>Методы теории катастроф в феномен. фазовых переходов: Моногр. / С.В.Павлов-М.:НИЦ ИНФРА-М,2023.-176 с(О)</t>
  </si>
  <si>
    <t>МЕТОДЫ ТЕОРИИ КАТАСТРОФ В ФЕНОМЕНОЛОГИИ ФАЗОВЫХ ПЕРЕХОДОВ</t>
  </si>
  <si>
    <t>978-5-16-014798-7</t>
  </si>
  <si>
    <t>04.03.02, 01.04.04, 03.04.02, 01.06.01, 03.06.01</t>
  </si>
  <si>
    <t>642151.05.01</t>
  </si>
  <si>
    <t>Методы экологических исследований: Уч. / Рязанова Н.Е. - М.:НИЦ ИНФРА-М,2023 - 474 с.(ВО)(П)</t>
  </si>
  <si>
    <t>МЕТОДЫ ЭКОЛОГИЧЕСКИХ ИССЛЕДОВАНИЙ</t>
  </si>
  <si>
    <t>Рязанова Н.Е., Аковецкий В.Г., Зубалий А.М. и др.</t>
  </si>
  <si>
    <t>978-5-16-014198-5</t>
  </si>
  <si>
    <t>06.03.01, 05.03.06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</si>
  <si>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укрупненной группе специальностей и направлений 05.03.06 «Экология и природопользование» (квалификация (степень) «бакалавр») (протокол № 5 от 11.03.2019)</t>
  </si>
  <si>
    <t>Московский государственный институт международных отношений (университет) Министерства иностранных дел Российской Федерации</t>
  </si>
  <si>
    <t>131600.11.01</t>
  </si>
  <si>
    <t>Методы эконометрики: Уч. / С.А. Айвазян - М.: Магистр, ИНФРА-М, 2023 - 512 с. (П)</t>
  </si>
  <si>
    <t>МЕТОДЫ ЭКОНОМЕТРИКИ</t>
  </si>
  <si>
    <t>Айвазян С.А.</t>
  </si>
  <si>
    <t>978-5-9776-0153-5</t>
  </si>
  <si>
    <t>38.04.09, 38.04.07, 38.04.01, 38.04.08, 38.04.06, 38.04.02, 38.04.03, 38.04.04, 38.04.05, 09.04.03, 38.05.01, 38.05.02, 38.03.01, 38.03.05, 09.03.03, 38.03.06, 38.03.07, 38.03.02, 38.03.04, 38.03.03, 41.03.06</t>
  </si>
  <si>
    <t>Рекомендовано Учебно-методическим объединением по образованию в области математических методов в экономике в качестве учебника для студентов вузов, обучающихся по специальности  "Математические методы в экономике" и другим экономическим специальност</t>
  </si>
  <si>
    <t>Центральный экономико-математический институт Российской академии наук</t>
  </si>
  <si>
    <t>393700.06.01</t>
  </si>
  <si>
    <t>Методы эксперимент.физики в избранных: Моногр. / А.П.Коржавый -М.:НИЦ ИНФРА-М,2023-352с(Науч.мысль)</t>
  </si>
  <si>
    <t>МЕТОДЫ ЭКСПЕРИМЕНТАЛЬНОЙ ФИЗИКИ В ИЗБРАННЫХ ТЕХНОЛОГИЯХ ЗАЩИТЫ ПРИРОДЫ И ЧЕЛОВЕКА</t>
  </si>
  <si>
    <t>Коржавый А.П., Капустин В.И., Козьмин Г.В.</t>
  </si>
  <si>
    <t>978-5-16-011278-7</t>
  </si>
  <si>
    <t>03.06.01</t>
  </si>
  <si>
    <t>463550.06.01</t>
  </si>
  <si>
    <t>Метрологическое обеспеч. безопас. сложных...: Уч. пос./Н.А.Северцев -М.: КУРС: ИНФРА-М,2023-352с.(П)</t>
  </si>
  <si>
    <t>МЕТРОЛОГИЧЕСКОЕ ОБЕСПЕЧЕНИЕ БЕЗОПАСНОСТИ СЛОЖНЫХ ТЕХНИЧЕСКИХ СИСТЕМ</t>
  </si>
  <si>
    <t>Северцев Н. А., Темнов В. Н.</t>
  </si>
  <si>
    <t>978-5-905554-54-4</t>
  </si>
  <si>
    <t>20.03.01, 20.03.02, 20.04.02</t>
  </si>
  <si>
    <t>Допущено Учебно-методическим объединением вузов по университетскому политехническому образованию в качестве учебного пособия для студентов высших учебных заведений, обучающихся по направлению 280100 «Безопасность жизнедеятельности»</t>
  </si>
  <si>
    <t>668824.03.01</t>
  </si>
  <si>
    <t>Механика: Уч.пос. / И.В.Богомаз - М.:НИЦ ИНФРА-М, СФУ,2023 - 345 с.-(ВО: Бакалавриат (СФУ))(П)</t>
  </si>
  <si>
    <t>МЕХАНИКА</t>
  </si>
  <si>
    <t>Богомаз И.В.</t>
  </si>
  <si>
    <t>978-5-16-017429-7</t>
  </si>
  <si>
    <t>07.03.01, 08.03.01</t>
  </si>
  <si>
    <t>Допущено УМО вузов РФ по образованию в области архитектуры в качестве учебного пособия для студентов вузов, обучающихся по направлению «Архитектура»</t>
  </si>
  <si>
    <t>147300.06.01</t>
  </si>
  <si>
    <t>Механика: Уч.пос. для вузов/ В.Т.Батиенков.-М.:ИЦ РИОР, ИНФРА-М Изд/ Дом,2023.-512 с.(ВО)(п)</t>
  </si>
  <si>
    <t>Батиенков В.Т., Волосухин В.А., Евтушенко С.И. и др.</t>
  </si>
  <si>
    <t>978-5-369-00757-0</t>
  </si>
  <si>
    <t>04.03.02, 02.03.03, 03.03.02, 03.03.03, 01.03.03</t>
  </si>
  <si>
    <t>Допущено Департаментом научно-технической политики и образования в качестве учебного пособия для студентов высших учебных заведений, обучающихся по направлению подготовки дипломированного специалиста 280400 Природоустройство</t>
  </si>
  <si>
    <t>698699.03.01</t>
  </si>
  <si>
    <t>Микробиология. Практикум: Уч.пос. / В.Н.Кисленко - М.:НИЦ ИНФРА-М,2022 - 239 с.-(ВО: Бакалавриат)(П)</t>
  </si>
  <si>
    <t>МИКРОБИОЛОГИЯ. ПРАКТИКУМ</t>
  </si>
  <si>
    <t>Кисленко В.Н.</t>
  </si>
  <si>
    <t>978-5-16-015071-0</t>
  </si>
  <si>
    <t>36.05.01, 36.03.01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</si>
  <si>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36.03.01 «Ветеринарно-санитарная экспертиза» (квалификация (степень) «бакалавр») (протокол № 17 от 11.11.2019)</t>
  </si>
  <si>
    <t>Новосибирский государственный аграрный университет</t>
  </si>
  <si>
    <t>742686.02.01</t>
  </si>
  <si>
    <t>Микробиология: Уч. / М.В.Гернет и др. - М.:НИЦ ИНФРА-М,2021 - 263 с.-(СПО)(П)</t>
  </si>
  <si>
    <t>МИКРОБИОЛОГИЯ</t>
  </si>
  <si>
    <t>Гернет М.В., Ильяшенко Н.Г., Шабурова Л.Н.</t>
  </si>
  <si>
    <t>978-5-16-016454-0</t>
  </si>
  <si>
    <t>19.03.02, 43.02.13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</si>
  <si>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8 от 22.06.2020)</t>
  </si>
  <si>
    <t>685787.07.01</t>
  </si>
  <si>
    <t>Микробиология: Уч. / М.В.Гернет и др. - М.:НИЦ ИНФРА-М,2024 - 263 с.-(ВО)(п)</t>
  </si>
  <si>
    <t>978-5-16-018959-8</t>
  </si>
  <si>
    <t>19.03.02</t>
  </si>
  <si>
    <t>774983.01.01</t>
  </si>
  <si>
    <t>Микробиология: Уч. / Н.Н.Минина-М.:НИЦ ИНФРА-М,2024.-251 с.(ВО)(п)</t>
  </si>
  <si>
    <t>Минина Н.Н.</t>
  </si>
  <si>
    <t>978-5-16-017645-1</t>
  </si>
  <si>
    <t>Уфимский Университет Науки и Технологий, Бирский ф-л</t>
  </si>
  <si>
    <t>0124</t>
  </si>
  <si>
    <t>064600.11.01</t>
  </si>
  <si>
    <t>Микробиология: Уч. для агротехнологов/ О.Д.Сидоренко.-М.:НИЦ ИНФРА-М,2024.-286 с.(ВО)(о)</t>
  </si>
  <si>
    <t>Сидоренко О. Д., Борисенко Е. Г., Ванькова А. А., Войно Л. И.</t>
  </si>
  <si>
    <t>978-5-16-018764-8</t>
  </si>
  <si>
    <t>44.03.05, 35.03.04</t>
  </si>
  <si>
    <t>Допущено Министерством сельского хозяйства Российской Федерации в качестве учебника для студентов высших учебных заведений, обучающихся по специальности 35.03.07 «Технология производства и переработки сельскохозяйственной продукции»</t>
  </si>
  <si>
    <t>649797.06.01</t>
  </si>
  <si>
    <t>Микроорганизмы и окружающая среда: Уч.пос. / Н.Г.Ильяшенко, - 2 изд.-М.:НИЦ ИНФРА-М,2023-195с(ВО)</t>
  </si>
  <si>
    <t>МИКРООРГАНИЗМЫ И ОКРУЖАЮЩАЯ СРЕДА, ИЗД.2</t>
  </si>
  <si>
    <t>Ильяшенко Н.Г., Шабурова Л.Н.</t>
  </si>
  <si>
    <t>978-5-16-018530-9</t>
  </si>
  <si>
    <t>19.03.02, 19.03.04, 19.04.04, 38.03.07</t>
  </si>
  <si>
    <t>Рекомендовано Учебно-методическим объединением по образованию в области технологии продуктов питания и пищевой инженерии в качестве учебного пособия для студентов высших учебных заведений, обучающихся по направлениям 19.03.02 «Продукты питания из растительного сырья», 19.03.04 «Технология продукции и организация общественного питания», 38.03.07 «Товароведение» (квалификация (степень) «бакалавр»)</t>
  </si>
  <si>
    <t>768379.02.01</t>
  </si>
  <si>
    <t>Минеральные формации и петрология Тырныаузкого...: Моногр. / Е.Н.Граменицкий-М.:НИЦ ИНФРА-М,2024.-466 с.(П)</t>
  </si>
  <si>
    <t>МИНЕРАЛЬНЫЕ ФОРМАЦИИ И ПЕТРОЛОГИЯ ТЫРНЫАУЗКОГО ВОЛЬФРАМО-МОЛИБДЕНОВОГО МЕСТОРОЖДЕНИЯ</t>
  </si>
  <si>
    <t>Граменицкий Е.Н., Кононов О.В.</t>
  </si>
  <si>
    <t>978-5-16-017339-9</t>
  </si>
  <si>
    <t>05.03.01, 05.06.01</t>
  </si>
  <si>
    <t>682535.07.01</t>
  </si>
  <si>
    <t>Модели и показатели техносферной безопасности: Моногр. / Ю.В.Есипов.-М.:НИЦ ИНФРА-М,2023.-154 с(О)</t>
  </si>
  <si>
    <t>МОДЕЛИ И ПОКАЗАТЕЛИ ТЕХНОСФЕРНОЙ БЕЗОПАСНОСТИ</t>
  </si>
  <si>
    <t>Есипов Ю.В., Мишенькина Ю.С., Черемисин А.И.</t>
  </si>
  <si>
    <t>978-5-16-013822-0</t>
  </si>
  <si>
    <t>20.03.01, 20.04.01, 20.05.01</t>
  </si>
  <si>
    <t>670747.02.01</t>
  </si>
  <si>
    <t>Моделирование динамических процессов методом...:Моногр./ В.В.Осипов-М.:НИЦ ИНФРА-М, СФУ,2020.-304 с..-(Науч.мысль (СФУ))(П)</t>
  </si>
  <si>
    <t>МОДЕЛИРОВАНИЕ ДИНАМИЧЕСКИХ ПРОЦЕССОВ МЕТОДОМ ТОЧЕЧНЫХ ПРЕДСТАВЛЕНИЙ</t>
  </si>
  <si>
    <t>Осипов В.В.</t>
  </si>
  <si>
    <t>978-5-16-013417-8</t>
  </si>
  <si>
    <t>01.04.01, 01.04.02, 01.06.01</t>
  </si>
  <si>
    <t>764096.03.01</t>
  </si>
  <si>
    <t>Моделирование систем: Уч.пос. / И.А.Астраханцева-М.:НИЦ ИНФРА-М,2023.-216 с..-(ВО: Бакалавриат)(П)</t>
  </si>
  <si>
    <t>МОДЕЛИРОВАНИЕ СИСТЕМ</t>
  </si>
  <si>
    <t>Астраханцева И.А., Бобков С.П.</t>
  </si>
  <si>
    <t>978-5-16-017220-0</t>
  </si>
  <si>
    <t>09.03.02, 09.04.04, 09.04.02</t>
  </si>
  <si>
    <t>Допущено Федеральным учебно-методическим объединением в системе высшего образования по укрупненной группе специальностей и направлений подготовки высшего образования 09.00.00 «Информатика и вычислительная техника» в качестве учебного пособия для студентов высших учебных заведений, обучающихся по направлениям подготовки бакалавриата 09.03.02 «Информационные системы и технологии» и магистратуры 09.04.02 «Информационные системы и технологии»</t>
  </si>
  <si>
    <t>Ивановский государственный химико-технологический университет</t>
  </si>
  <si>
    <t>639993.03.01</t>
  </si>
  <si>
    <t>Моделирование штормов. наводнен. в..: Моногр. / О.Е.Любимова-М.:НИЦ ИНФРА-М,2023-185с(Науч.мысль)(о)</t>
  </si>
  <si>
    <t>МОДЕЛИРОВАНИЕ ШТОРМОВЫХ НАВОДНЕНИЙ В УСТЬЕВЫХ ОБЛАСТЯХ БАЛТИЙСКИХ РЕК</t>
  </si>
  <si>
    <t>Любимова О.Е., Кочуров Б.И.</t>
  </si>
  <si>
    <t>978-5-16-018617-7</t>
  </si>
  <si>
    <t>05.03.04, 05.03.06</t>
  </si>
  <si>
    <t>Балтийский федеральный университет им. Иммануила Канта</t>
  </si>
  <si>
    <t>127350.08.01</t>
  </si>
  <si>
    <t>Моделирование эколого-экономич. сис: Уч.пос. / М.С.Красс, - 2-е изд.-М.:НИЦ ИНФРА-М,2024.-272 с.(ВО)(П)</t>
  </si>
  <si>
    <t>МОДЕЛИРОВАНИЕ ЭКОЛОГО-ЭКОНОМИЧЕСКИХ СИСТЕМ, ИЗД.2</t>
  </si>
  <si>
    <t>Красс М. С.</t>
  </si>
  <si>
    <t>978-5-16-006597-7</t>
  </si>
  <si>
    <t>05.03.06, 35.03.03, 05.04.06, 38.04.01, 38.04.05, 38.03.01, 38.03.05</t>
  </si>
  <si>
    <t>Рекомендовано  УМО по образованию в области математических методов в экономике в качестве учебного пособия для студентов высших учебных заведений, обуч. по спец.  080116 "Математические методы в экономике" и другим экономическим специальностям</t>
  </si>
  <si>
    <t>666738.06.01</t>
  </si>
  <si>
    <t>Молекулярная биология: Уч. / В.В.Иванищев - 2 изд. - М.:ИЦ РИОР, НИЦ ИНФРА-М,2021 - 233 с.-(ВО)(П)</t>
  </si>
  <si>
    <t>МОЛЕКУЛЯРНАЯ БИОЛОГИЯ, ИЗД.2</t>
  </si>
  <si>
    <t>Иванищев В.В.</t>
  </si>
  <si>
    <t>978-5-369-01857-6</t>
  </si>
  <si>
    <t>31.02.01, 31.02.03, 06.03.01, 19.03.01, 44.03.05</t>
  </si>
  <si>
    <t>666738.02.01</t>
  </si>
  <si>
    <t>Молекулярная биология: Уч. / В.В.Иванищев - М.:ИЦ РИОР, НИЦ ИНФРА-М,2019.-225 с.(П)</t>
  </si>
  <si>
    <t>МОЛЕКУЛЯРНАЯ БИОЛОГИЯ</t>
  </si>
  <si>
    <t>978-5-369-01731-9</t>
  </si>
  <si>
    <t>703614.02.01</t>
  </si>
  <si>
    <t>Молекулярная механика биополимеров: Моногр./ В.В.Костюков-М.:НИЦ ИНФРА-М,2023.-140 с.(Науч.мысль (СевГУ))(О)</t>
  </si>
  <si>
    <t>МОЛЕКУЛЯРНАЯ МЕХАНИКА БИОПОЛИМЕРОВ</t>
  </si>
  <si>
    <t>Костюков В.В.</t>
  </si>
  <si>
    <t>Научная мысль (СевГУ)</t>
  </si>
  <si>
    <t>978-5-16-014913-4</t>
  </si>
  <si>
    <t>06.03.01, 12.03.04, 06.04.01, 12.04.04, 06.05.01, 06.06.01, 12.06.01</t>
  </si>
  <si>
    <t>414200.07.01</t>
  </si>
  <si>
    <t>Молекулярная спектроскопия: основы теории и практика: Уч.пос./Ф.Ф.Литвин-М:НИЦ Инфра-М,2023-263с.(ВО) (о)</t>
  </si>
  <si>
    <t>МОЛЕКУЛЯРНАЯ СПЕКТРОСКОПИЯ: ОСНОВЫ ТЕОРИИ И ПРАКТИКА</t>
  </si>
  <si>
    <t>Литвин Ф. Ф., Дубровский В. Т., Хатыпов Р. А., Неверов К. В., Литвин Ф. Ф.</t>
  </si>
  <si>
    <t>978-5-16-005727-9</t>
  </si>
  <si>
    <t>06.03.01, 19.03.01, 06.04.01, 44.03.05</t>
  </si>
  <si>
    <t>Допущено Учебно-методическим объединением по классическому университетскому образованию в качестве учебного пособия для студентов высших учебных заведений, обучающихся по направлению 020400 «Биология» и смежным специальностям</t>
  </si>
  <si>
    <t>689994.02.01</t>
  </si>
  <si>
    <t>Мониторинг и прогнозирование соц.-эконом. развития..: Моногр./ М.Л.Казарян-М.:НИЦ ИНФРА-М,2023-256с.</t>
  </si>
  <si>
    <t>МОНИТОРИНГ И ПРОГНОЗИРОВАНИЕ СОЦИАЛЬНО-ЭКОНОМИЧЕСКОГО РАЗВИТИЯ РЕГИОНОВ НА ОСНОВЕ АНАЛИЗА КОСМИЧЕСКИХ СНИМКОВ (НА ПРИМЕРЕ ОБЪЕКТОВ ЗАХОРОНЕНИЯ ТВЕРДЫХ БЫТОВЫХ ОТХОДОВ И ИХ ВЛИЯНИЕ НА ОКРУЖАЮЩУЮ СРЕДУ)</t>
  </si>
  <si>
    <t>978-5-16-014549-5</t>
  </si>
  <si>
    <t>38.04.01, 38.04.04, 38.03.01, 38.03.04</t>
  </si>
  <si>
    <t>444250.05.01</t>
  </si>
  <si>
    <t>Морская экология и прибрежно-мор.природ.:Уч.пос./Я.Ю.Блиновская-2изд.-М.:Форум,НИЦ ИНФРА-М,2019-168с</t>
  </si>
  <si>
    <t>МОРСКАЯ ЭКОЛОГИЯ И ПРИБРЕЖНО-МОРСКОЕ ПРИРОДОПОЛЬЗОВАНИЕ, ИЗД.2</t>
  </si>
  <si>
    <t>Блиновская Я. Ю.</t>
  </si>
  <si>
    <t>978-5-00091-140-2</t>
  </si>
  <si>
    <t>26.02.05, 26.02.06, 05.03.06, 20.03.01, 20.04.01</t>
  </si>
  <si>
    <t>Рекомендовано Дальневосточным региональным учебно-методическим центром в качестве учебного пособия для студентов направления подготовки бакалавров 280700.62 «Техносферная безопасность»</t>
  </si>
  <si>
    <t>771342.01.01</t>
  </si>
  <si>
    <t>Направления проектных работ в области космиче...: Моногр. / А.А.Рихтер-М.:НИЦ ИНФРА-М,2022 -277 с.(П)</t>
  </si>
  <si>
    <t>НАПРАВЛЕНИЯ ПРОЕКТНЫХ РАБОТ  В ОБЛАСТИ КОСМИЧЕСКОГО ЭКОЛОГИЧЕСКОГО МОНИТОРИНГА И ТРЁХМЕРНОГО МОДЕЛИРОВАНИЯ</t>
  </si>
  <si>
    <t>Рихтер А.А., Шахраманьян М.А.</t>
  </si>
  <si>
    <t>978-5-16-017489-1</t>
  </si>
  <si>
    <t>05.03.06, 20.04.01, 20.04.02</t>
  </si>
  <si>
    <t>674691.01.01</t>
  </si>
  <si>
    <t>Насекомые в лесных биоценозах Камчатки: Моногр./ А.Н.Сметанин-М:НИЦ ИНФРА-М,2018-242с(Науч.мысль)(О)</t>
  </si>
  <si>
    <t>НАСЕКОМЫЕ В ЛЕСНЫХ БИОЦЕНОЗАХ КАМЧАТКИ</t>
  </si>
  <si>
    <t>Сметанин А.Н.</t>
  </si>
  <si>
    <t>978-5-16-014023-0</t>
  </si>
  <si>
    <t>06.03.01, 05.03.06, 35.03.01, 06.04.01, 05.04.06, 35.04.01, 44.03.05</t>
  </si>
  <si>
    <t>689694.04.01</t>
  </si>
  <si>
    <t>Настольная книга автора медицинской диссертации: Пос. / А.Н.Наркевич - М.:НИЦ ИНФРА-М,2023 - 454 с(ВО)(П)</t>
  </si>
  <si>
    <t>НАСТОЛЬНАЯ КНИГА АВТОРА МЕДИЦИНСКОЙ ДИССЕРТАЦИИ</t>
  </si>
  <si>
    <t>Наркевич А.Н., Виноградов К.А.</t>
  </si>
  <si>
    <t>978-5-16-014323-1</t>
  </si>
  <si>
    <t>Пособие</t>
  </si>
  <si>
    <t>31.05.01, 31.05.02, 31.05.03, 31.06.01, 31.07.01</t>
  </si>
  <si>
    <t>Красноярский государственный медицинский университет им. профессора В.Ф. Войно-Ясенецкого</t>
  </si>
  <si>
    <t>764952.01.01</t>
  </si>
  <si>
    <t>Наука в политарном обществе: прикл. и судьбы...: Моногр. / В.Ю.Васечко - М.:НИЦ ИНФРА-М,2022 - 373 с(О)</t>
  </si>
  <si>
    <t>НАУКА В ПОЛИТАРНОМ ОБЩЕСТВЕ: ПРИКЛЮЧЕНИЯ И СУДЬБЫ УЧЕНЫХ В ЦИВИЛИЗАЦИЯХ ДРЕВНЕГО И СРЕДНЕВЕКОВОГО ВОСТОКА</t>
  </si>
  <si>
    <t>Васечко В.Ю.</t>
  </si>
  <si>
    <t>978-5-16-017223-1</t>
  </si>
  <si>
    <t>00.06.01</t>
  </si>
  <si>
    <t>Институт философии и права Уральского отделения Российской академии наук</t>
  </si>
  <si>
    <t>655223.05.01</t>
  </si>
  <si>
    <t>Науки о земле: Уч. / Под ред. Девисилова В.А. - М.:НИЦ ИНФРА-М,2023 - 345 с.-(ВО: Бакалавриат)(П)</t>
  </si>
  <si>
    <t>НАУКИ О ЗЕМЛЕ</t>
  </si>
  <si>
    <t>Дьяченко В.В., Дьяченко Л.Г., Девисилов В.А. и др.</t>
  </si>
  <si>
    <t>978-5-16-014153-4</t>
  </si>
  <si>
    <t>35.02.01, 20.02.01, 05.03.06, 20.03.01, 20.03.02</t>
  </si>
  <si>
    <t>Рекомендовано федеральным учебно-методическим объединением в системе высшего образования по укрупненной группе специальностей и направлений подготовки 20.00.00 «Техносферная безопасность и природообустройство» в качестве учебника для студентов, обучающихся по основным образовательным программам высшего образования по направлениям 20.03.01 «Техносферная безопасность», 20.03.02 «Природообустройство и водопользование»</t>
  </si>
  <si>
    <t>Кубанский государственный технологический университет</t>
  </si>
  <si>
    <t>135850.06.01</t>
  </si>
  <si>
    <t>Науки о Земле: Уч. пос. / Ф.Ф. Брюхань. - М.: Форум, 2023. - 192 с. (п)</t>
  </si>
  <si>
    <t>Брюхань Ф. Ф.</t>
  </si>
  <si>
    <t>978-5-91134-462-7</t>
  </si>
  <si>
    <t>08.03.01, 08.05.01, 08.05.03, 08.05.02</t>
  </si>
  <si>
    <t>Рекомендовано УМО по образованию в области строительства в качестве учебного пособия для студентов вузов, обучающихся по направлению подготовки 270100 Строительство</t>
  </si>
  <si>
    <t>160100.08.01</t>
  </si>
  <si>
    <t>Науки о Земле: Уч.пос. / Г.К.Климов - М.:НИЦ ИНФРА-М,2024 - 390 с.-(ВО: Бакалавриат)(П)</t>
  </si>
  <si>
    <t>Климов Г. К., Климова А. И.</t>
  </si>
  <si>
    <t>978-5-16-005148-2</t>
  </si>
  <si>
    <t>06.03.01, 05.03.01, 05.03.06, 20.03.01, 20.03.02, 05.04.06, 20.04.01, 20.04.02</t>
  </si>
  <si>
    <t>Рекомендовано ГОУ ВПО "Мос. гос. технический университет им. Н.Э Баумана" в качестве учебного пособия для студентов высших учебных заведений по направлениям подготовки «Безопасность в техносфере»</t>
  </si>
  <si>
    <t>Пензенский государственный университет</t>
  </si>
  <si>
    <t>717503.03.01</t>
  </si>
  <si>
    <t>Научные основы практической экобиотехнологии: Моногр./ Н.М.Исмаилов-М.:НИЦ ИНФРА-М,2023.-414 с.(О)</t>
  </si>
  <si>
    <t>НАУЧНЫЕ ОСНОВЫ ПРАКТИЧЕСКОЙ ЭКОБИОТЕХНОЛОГИИ</t>
  </si>
  <si>
    <t>Исмаилов Н.М.</t>
  </si>
  <si>
    <t>978-5-16-015723-8</t>
  </si>
  <si>
    <t>19.03.01, 19.04.01</t>
  </si>
  <si>
    <t>341500.04.01</t>
  </si>
  <si>
    <t>Научные основы произ.изделий из термопласт...: Моногр. / Г.С.Головкин-М.:НИЦ ИНФРА-М,2020.-471с(о)</t>
  </si>
  <si>
    <t>НАУЧНЫЕ ОСНОВЫ ПРОИЗВОДСТВА ИЗДЕЛИЙ ИЗ ТЕРМОПЛАСТИЧНЫХ КОМПОЗИЦИОННЫХ МАТЕРИАЛОВ</t>
  </si>
  <si>
    <t>Головкин Г.С., Дмитренко В.П.</t>
  </si>
  <si>
    <t>978-5-16-010757-8</t>
  </si>
  <si>
    <t>18.03.01, 18.04.01</t>
  </si>
  <si>
    <t>696054.03.01</t>
  </si>
  <si>
    <t>Научные трансакции: сети и иерархии в обществ.науках: Моногр./Макаренко В.П.-М.:НИЦ ИНФРА-М,2022-300с(П)</t>
  </si>
  <si>
    <t>НАУЧНЫЕ ТРАНСАКЦИИ: СЕТИ И ИЕРАРХИИ В ОБЩЕСТВЕННЫХ НАУКАХ</t>
  </si>
  <si>
    <t>Олейник А.Н., Акопян А., Макаренко В.П.</t>
  </si>
  <si>
    <t>978-5-16-014639-3</t>
  </si>
  <si>
    <t>229900.06.01</t>
  </si>
  <si>
    <t>Начала физической химии: Уч. пос. / Н.М. Бажин - М.: НИЦ ИНФРА-М, 2023 - 332с. (ВО: Бакалавриат) (п)</t>
  </si>
  <si>
    <t>НАЧАЛА ФИЗИЧЕСКОЙ ХИМИИ</t>
  </si>
  <si>
    <t>Бажин Н.М., Пармон В.Н.</t>
  </si>
  <si>
    <t>978-5-16-009055-9</t>
  </si>
  <si>
    <t>04.03.02, 04.03.01, 18.03.01, 35.03.03, 18.03.02, 18.04.01, 04.05.01, 31.05.01, 31.05.02, 31.05.03, 33.05.01, 30.05.01, 18.05.02, 18.05.01, 18.02.12</t>
  </si>
  <si>
    <t>Допущено УМО по классическому университетскому образованию в качестве учебного пособия для студентов высших учебных заведений, обучающихся по специальности ВПО 04.03.01 (020101.65) - химия и по направлению 04.00.00 (020100) — химия</t>
  </si>
  <si>
    <t>Новосибирский государственный университет экономики и управления</t>
  </si>
  <si>
    <t>439450.06.01</t>
  </si>
  <si>
    <t>Начертательная геометрия. Основной курс: Уч. пос. / Н.А. Сальков - М.: НИЦ ИНФРА-М, 2023-235с(ВО)(п)</t>
  </si>
  <si>
    <t>НАЧЕРТАТЕЛЬНАЯ ГЕОМЕТРИЯ. ОСНОВНОЙ КУРС</t>
  </si>
  <si>
    <t>Сальков Н. А.</t>
  </si>
  <si>
    <t>978-5-16-006755-1</t>
  </si>
  <si>
    <t>07.02.01, 07.03.01, 07.03.03, 35.03.10</t>
  </si>
  <si>
    <t>Допущено УМО по образованию в области архитектуры в качестве учебного пособия для студентов вузов, обучающихся по направлению «Архитектура»</t>
  </si>
  <si>
    <t>400050.09.01</t>
  </si>
  <si>
    <t>Начертательная геометрия: базовый курс: Уч.пос. / Н.А.Сальков. - М.: НИЦ Инфра-М, 2024. - 184 с.(ВО) (п)</t>
  </si>
  <si>
    <t>НАЧЕРТАТЕЛЬНАЯ ГЕОМЕТРИЯ: БАЗОВЫЙ КУРС</t>
  </si>
  <si>
    <t>978-5-16-005774-3</t>
  </si>
  <si>
    <t>07.03.01, 07.03.03, 07.03.02, 07.03.04</t>
  </si>
  <si>
    <t>744669.02.01</t>
  </si>
  <si>
    <t>Начертательная геометрия: Задания для курс. раб.: Уч.пос. / Н.А.Сальков - М.:НИЦ ИНФРА-М,2022 - 117 с.(ВО)(П)</t>
  </si>
  <si>
    <t>НАЧЕРТАТЕЛЬНАЯ ГЕОМЕТРИЯ: ЗАДАНИЯ ДЛЯ КУРСОВЫХ РАБОТ</t>
  </si>
  <si>
    <t>978-5-16-016630-8</t>
  </si>
  <si>
    <t>07.03.01, 07.03.03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</si>
  <si>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07.03.01 «Архитектура», 07.03.03 «Дизайн архитектурной среды» (квалификация (степень) «бакалавр») (протокол №9 от 28.09.2020)</t>
  </si>
  <si>
    <t>742897.03.01</t>
  </si>
  <si>
    <t>Начертательная геометрия: Конструирование поверхностей: Уч.пос. / Н.А.Сальков-М.:НИЦ ИНФРА-М,2022.-220 с.(ВО: Бак)(П)</t>
  </si>
  <si>
    <t>НАЧЕРТАТЕЛЬНАЯ ГЕОМЕТРИЯ: КОНСТРУИРОВАНИЕ ПОВЕРХНОСТЕЙ</t>
  </si>
  <si>
    <t>978-5-16-016612-4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</si>
  <si>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07.03.01 «Архитектура», 07.03.03 «Дизайн архитектурной среды» (квалификация (степень) «бакалавр») (протокол № 6 от 16.06.2021)</t>
  </si>
  <si>
    <t>801043.01.01</t>
  </si>
  <si>
    <t>Начертательная геометрия: практикум: Уч.пос. / Н.А.Сальков-М.:НИЦ ИНФРА-М,2023.-131 с.(ВО: Магистр.)(п)</t>
  </si>
  <si>
    <t>НАЧЕРТАТЕЛЬНАЯ ГЕОМЕТРИЯ: ПРАКТИКУМ</t>
  </si>
  <si>
    <t>978-5-16-018375-6</t>
  </si>
  <si>
    <t>07.03.01, 07.03.03, 07.04.01, 54.03.01</t>
  </si>
  <si>
    <t>778270.02.01</t>
  </si>
  <si>
    <t>Начертательная геометрия: Сб. задач и заданий: Уч.пос. / Н.А.Сальков-М.:НИЦ ИНФРА-М,2022.-148 с.(СПО)</t>
  </si>
  <si>
    <t>НАЧЕРТАТЕЛЬНАЯ ГЕОМЕТРИЯ: СБОРНИК ЗАДАЧ И ЗАДАНИЙ</t>
  </si>
  <si>
    <t>978-5-16-017770-0</t>
  </si>
  <si>
    <t>07.02.01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</si>
  <si>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07.02.01 «Архитектура» (протокол № 3 от 09.03.2022)</t>
  </si>
  <si>
    <t>090450.17.01</t>
  </si>
  <si>
    <t>Начертательная геометрия: сб. задач: Уч. пос. / С.А. Фролов - 3 изд.- М.: ИНФРА-М, 2024-172с.(ВО) (П)</t>
  </si>
  <si>
    <t>НАЧЕРТАТЕЛЬНАЯ ГЕОМЕТРИЯ: СБОРНИК ЗАДАЧ, ИЗД.3</t>
  </si>
  <si>
    <t>Фролов С. А.</t>
  </si>
  <si>
    <t>978-5-16-003273-3</t>
  </si>
  <si>
    <t>24.03.04, 13.03.03, 15.03.02, 15.03.01, 15.03.03, 15.03.04, 15.03.06, 15.03.05, 24.03.01, 24.03.05, 24.03.02, 15.05.01, 24.03.03</t>
  </si>
  <si>
    <t>Допущено Мин. обр. и науки РФ в качестве учебного пособия для студентов высших учебных заведений, обучающихся по машиностроительным специальностям</t>
  </si>
  <si>
    <t>684899.05.01</t>
  </si>
  <si>
    <t>Начертательная геометрия: сборник задач: Уч.пос. /С.А.Фролов, - 3 изд.-М.:НИЦ ИНФРА-М,2019-172с(СПО)</t>
  </si>
  <si>
    <t>Фролов С.А.</t>
  </si>
  <si>
    <t>978-5-16-014147-3</t>
  </si>
  <si>
    <t>07.02.01, 00.02.31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</si>
  <si>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техническим специальностям</t>
  </si>
  <si>
    <t>777691.01.01</t>
  </si>
  <si>
    <t>Начертательная геометрия: Уч. / Н.А.Сальков-М.:НИЦ ИНФРА-М,2022.-332 с.(СПО)(П)</t>
  </si>
  <si>
    <t>НАЧЕРТАТЕЛЬНАЯ ГЕОМЕТРИЯ</t>
  </si>
  <si>
    <t>978-5-16-017771-7</t>
  </si>
  <si>
    <t>12.03.02, 00.03.36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</si>
  <si>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07.02.01 «Архитектура» (протокол № 3 от 09.03.2022)</t>
  </si>
  <si>
    <t>077700.19.01</t>
  </si>
  <si>
    <t>Начертательная геометрия: Уч. / С.А.Фролов - 3 изд. - М.:НИЦ ИНФРА-М,2023 - 285 с.(ВО:Бакалавр.)(П)</t>
  </si>
  <si>
    <t>НАЧЕРТАТЕЛЬНАЯ ГЕОМЕТРИЯ, ИЗД.3</t>
  </si>
  <si>
    <t>978-5-16-010480-5</t>
  </si>
  <si>
    <t>07.02.01, 07.03.01, 07.03.03, 20.03.01, 12.03.01, 13.03.03, 14.03.01, 15.03.05, 24.03.05, 29.03.02, 35.03.10, 35.03.02, 21.03.01, 23.03.01, 23.03.02, 23.03.03, 24.03.03, 26.03.02, 35.03.06</t>
  </si>
  <si>
    <t>Допущено Министерством образования Российской Федерации для студентов высших учебных заведений, обучающихся по направлению подготовки дипломированных специалистов в области техники и технологии</t>
  </si>
  <si>
    <t>0307</t>
  </si>
  <si>
    <t>660985.04.01</t>
  </si>
  <si>
    <t>Начертательная геометрия: Уч.пос. / В.В.Дергач и др., - 3 изд.-М.:НИЦ ИНФРА-М, СФУ,2022-144с(ВО)(О)</t>
  </si>
  <si>
    <t>Дергач В.В., Толстихин А.К., Борисенко И.Г.</t>
  </si>
  <si>
    <t>978-5-16-012964-8</t>
  </si>
  <si>
    <t>07.02.01, 07.03.01, 07.03.03, 20.03.01, 12.03.02, 12.03.05, 13.03.03, 15.03.03, 20.03.02, 21.05.06, 21.05.05, 21.05.04</t>
  </si>
  <si>
    <t>Допущено Учебно-методическим объединением по профессионально-педагогическому образованию в качестве учебного пособия для студентов высших учебных заведений, обучающихся по специальности 44.03.04 «Профессиональное обучение (материаловедение и обработка материалов)»</t>
  </si>
  <si>
    <t>0317</t>
  </si>
  <si>
    <t>408950.07.01</t>
  </si>
  <si>
    <t>Начертательная геометрия: Уч.пос. / Под ред. Зайцева Ю.А.-М.:НИЦ ИНФРА-М,2023-248с(ВО)(п)</t>
  </si>
  <si>
    <t>Зайцев Ю. А., Одиноков И. П., Решетников М. К., Зайцев Ю. А.</t>
  </si>
  <si>
    <t>978-5-16-018438-8</t>
  </si>
  <si>
    <t>Допущено Научно-методическим советом по начертательной геометрии, инженерной и компьютерной графике Министерства образования и науки РФ в качестве учебного пособия для бакалавров направления 15.03.05 «Конструкторско-технологическое обеспечение машиностроительных производств»</t>
  </si>
  <si>
    <t>450200.01.01</t>
  </si>
  <si>
    <t>Нелинейная динам.океанотехн.сист.: Моногр./В.М.Кушнир-М.:Вуз.уч.,НИЦ ИНФРА-М,2016-320с(Науч.книга)(о)</t>
  </si>
  <si>
    <t>НЕЛИНЕЙНАЯ ДИНАМИКА ОКЕАНОТЕХНИЧЕСКИХ СИСТЕМ</t>
  </si>
  <si>
    <t>Кушнир В.М., Душко В.Р., Крамарь В.А.</t>
  </si>
  <si>
    <t>978-5-9558-0470-5</t>
  </si>
  <si>
    <t>26.04.02, 26.05.01, 26.03.02</t>
  </si>
  <si>
    <t>669485.02.01</t>
  </si>
  <si>
    <t>Неоднородные сорбенты: Монография / А.Н.Лукьянов-М.:НИЦ ИНФРА-М, СФУ,2024-188с-(Науч.мысль (СФУ))(о)</t>
  </si>
  <si>
    <t>НЕОДНОРОДНЫЕ СОРБЕНТЫ</t>
  </si>
  <si>
    <t>Лукьянов А.Н.</t>
  </si>
  <si>
    <t>978-5-16-018890-4</t>
  </si>
  <si>
    <t>402950.06.01</t>
  </si>
  <si>
    <t>Неопределенный интеграл: Уч. пос. / И.Г. Лурье - М.: Вуз. уч.:  НИЦ ИНФРА-М, 2023. - 112 с. (о)</t>
  </si>
  <si>
    <t>НЕОПРЕДЕЛЕННЫЙ ИНТЕГРАЛ</t>
  </si>
  <si>
    <t>Лурье И.Г.</t>
  </si>
  <si>
    <t>978-5-9558-0280-0</t>
  </si>
  <si>
    <t>01.04.04, 01.04.01, 01.03.01, 01.03.02</t>
  </si>
  <si>
    <t>279200.10.01</t>
  </si>
  <si>
    <t>Неорганическая химия : краткий курс: Уч.пос. / В.Г.Иванов-М.:КУРС, НИЦ ИНФРА-М,2024.-256 с.(о)</t>
  </si>
  <si>
    <t>НЕОРГАНИЧЕСКАЯ ХИМИЯ : КРАТКИЙ КУРС</t>
  </si>
  <si>
    <t>Иванов В. Г., Гева О. Н.</t>
  </si>
  <si>
    <t>978-5-905554-60-5</t>
  </si>
  <si>
    <t>18.02.07, 04.03.02, 04.03.01, 06.03.01, 06.03.02, 18.03.01, 18.03.02, 19.03.02, 19.03.03, 19.03.04, 19.03.01, 04.05.01, 06.05.01, 31.05.01, 31.05.02, 32.05.01, 31.05.03, 33.05.01, 30.05.01, 30.05.02, 30.05.03, 18.05.02, 18.05.01, 34.03.01, 18.02.12, 18.01.33</t>
  </si>
  <si>
    <t>Московский педагогический государственный университет</t>
  </si>
  <si>
    <t>635946.08.01</t>
  </si>
  <si>
    <t>Неорганическая химия: Уч. / Т.В.Мартынова - 2-е изд.-М.:НИЦ ИНФРА-М,2023.-348 с.(ВО: Бакалавр.)(П)</t>
  </si>
  <si>
    <t>НЕОРГАНИЧЕСКАЯ ХИМИЯ, ИЗД.2</t>
  </si>
  <si>
    <t>Мартынова Т.В., Супотницкая Н.С., Агеева Ю.С.</t>
  </si>
  <si>
    <t>978-5-16-017553-9</t>
  </si>
  <si>
    <t>04.03.02, 04.03.01, 20.03.01, 18.03.02, 19.03.04, 19.03.01, 31.05.01, 31.05.02, 31.05.03, 33.05.01, 29.03.04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</si>
  <si>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техническим направлениям подготовки (квалификация (степень) «бакалавр») (протокол № 9 от 17.11.2022)</t>
  </si>
  <si>
    <t>635946.07.01</t>
  </si>
  <si>
    <t>Неорганическая химия: Уч. / Т.В.Мартынова - М.:НИЦ ИНФРА-М,2022 - 336 с.-(ВО: Бакалавриат)(П)</t>
  </si>
  <si>
    <t>НЕОРГАНИЧЕСКАЯ ХИМИЯ</t>
  </si>
  <si>
    <t>Мартынова Т.В., Супоницкая И.И., Агеева Ю.С.</t>
  </si>
  <si>
    <t>978-5-16-012323-3</t>
  </si>
  <si>
    <t>Рекомендовано в качестве учебника для студентов высших учебных заведений, обучающихся по техническим специальностям и направлениям подготовки (квалификация (степень) «бакалавр»)</t>
  </si>
  <si>
    <t>117300.11.01</t>
  </si>
  <si>
    <t>Неорганическая химия: Уч. пос. / И.В. Богомолова. - М.: Альфа-М:  ИНФРА-М, 2023. - 336 с. (п)</t>
  </si>
  <si>
    <t>Богомолова И. В.</t>
  </si>
  <si>
    <t>ПРОФИль</t>
  </si>
  <si>
    <t>978-5-98281-187-5</t>
  </si>
  <si>
    <t>18.02.07, 31.02.01, 33.02.01, 04.03.02, 04.03.01, 18.03.01, 18.03.02, 19.03.02, 19.03.04, 19.03.01, 31.05.01, 31.05.02, 31.05.03, 44.03.05, 18.02.12, 18.01.33</t>
  </si>
  <si>
    <t>Рекомендовано Федеральным государственным учреждением "Федеральный институт развития образования" в качестве учебного пособия для студентов образовательных  учреждений, реализующих программы среднего профессионального образования</t>
  </si>
  <si>
    <t>094060.03.01</t>
  </si>
  <si>
    <t>Неорганическая химия: Шпаргалка - М.:ИЦ РИОР, НИЦ ИНФРА-М - 157 с.-(Шпаргалки на 5+)(О)</t>
  </si>
  <si>
    <t>ИЦ Р.</t>
  </si>
  <si>
    <t>Шпаргалки на 5+</t>
  </si>
  <si>
    <t>978-5-369-00657-3</t>
  </si>
  <si>
    <t>33.02.01, 04.03.02, 04.03.01, 18.03.02, 19.03.04, 19.03.01, 44.03.05</t>
  </si>
  <si>
    <t>263400.08.01</t>
  </si>
  <si>
    <t>Ноксология: Практикум / С.С.Тимофеева - М.:Форум,НИЦ ИНФРА-М,2023 - 159 с.-(ВО)(о)</t>
  </si>
  <si>
    <t>НОКСОЛОГИЯ. ПРАКТИКУМ</t>
  </si>
  <si>
    <t>Тимофеева С.С.</t>
  </si>
  <si>
    <t>978-5-91134-849-6</t>
  </si>
  <si>
    <t>20.03.01</t>
  </si>
  <si>
    <t>Рекомендовано редакционно-издательским советом Иркутского государственного технического университета в качестве практикума для студентов направления подготовки «Техносферная безопасность» квалификации «Бакалавр»</t>
  </si>
  <si>
    <t>Иркутский национальный исследовательский технический университет</t>
  </si>
  <si>
    <t>798118.01.01</t>
  </si>
  <si>
    <t>Ноксология: Уч.пос. / Л.Н.Бердникова-М.:НИЦ ИНФРА-М,2023.-321 с.(ВО (КрГАУ))(п)</t>
  </si>
  <si>
    <t>НОКСОЛОГИЯ</t>
  </si>
  <si>
    <t>Бердникова Л.Н.</t>
  </si>
  <si>
    <t>Высшее образование (КрГАУ)</t>
  </si>
  <si>
    <t>978-5-16-018825-6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</si>
  <si>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по направлению подготовки 20.03.01 «Техносферная безопасность»</t>
  </si>
  <si>
    <t>Красноярский Государственный Аграрный Университет</t>
  </si>
  <si>
    <t>796845.01.01</t>
  </si>
  <si>
    <t>Нормальная физиология человека: Уч.пос. / Ю.А.Успенская-М.:НИЦ ИНФРА-М,2023.-414 с.(ВО (КрГАУ))(п)</t>
  </si>
  <si>
    <t>НОРМАЛЬНАЯ ФИЗИОЛОГИЯ ЧЕЛОВЕКА</t>
  </si>
  <si>
    <t>Успенская Ю.А.</t>
  </si>
  <si>
    <t>978-5-16-018416-6</t>
  </si>
  <si>
    <t>06.03.01, 20.03.01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</si>
  <si>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по направлениям подготовки 20.03.01 «Техносферная безопасность» и 06.03.01 «Биология»</t>
  </si>
  <si>
    <t>238600.09.01</t>
  </si>
  <si>
    <t>Оcновы химии: Уч. / В.Г.Иванов - М.:КУРС, НИЦ ИНФРА-М,2022 - 560 с.(П)</t>
  </si>
  <si>
    <t>ОCНОВЫ ХИМИИ</t>
  </si>
  <si>
    <t>Иванов В.Г., Гева О.Н.</t>
  </si>
  <si>
    <t>978-5-905554-40-7</t>
  </si>
  <si>
    <t>18.02.07, 04.03.02, 04.03.01, 18.03.01, 18.03.02, 31.05.01, 31.05.02, 31.05.03, 33.05.01, 30.05.01, 18.05.02, 18.05.01, 18.01.33</t>
  </si>
  <si>
    <t>221300.04.01</t>
  </si>
  <si>
    <t>Обеспечение безоп. при чрезв. ситуациях: Уч./В.А.Бондаренко-2 изд.-М.:ИЦ РИОР,НИЦ ИНФРА-М,2019-224-(СПО)(П)</t>
  </si>
  <si>
    <t>ОБЕСПЕЧЕНИЕ БЕЗОПАСНОСТИ ПРИ ЧРЕЗВЫЧАЙНЫХ СИТУАЦИЯХ, ИЗД.2</t>
  </si>
  <si>
    <t>978-5-369-01784-5</t>
  </si>
  <si>
    <t>56.05.02, 34.02.01, 15.02.11, 27.02.06, 15.02.14, 15.02.15, 15.01.31, 15.01.35, 00.02.01, 00.01.01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</si>
  <si>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учебника для использования в учебном процессе образовательных учреждений, реализующих программы СПО</t>
  </si>
  <si>
    <t>790150.02.01</t>
  </si>
  <si>
    <t>Обеспечение экологич. безопас. природно-технич. сис... / Т.В.Иванкова-М.: ИНФРА-М, 2023. — 171 с.(О)</t>
  </si>
  <si>
    <t>ОБЕСПЕЧЕНИЕ ЭКОЛОГИЧЕСКОЙ БЕЗОПАСНОСТИ ПРИРОДНО-ТЕХНИЧЕСКИХ СИСТЕМ БАССЕЙНОВ МАЛЫХ РЕК В УСЛОВИЯХ КРЫМСКОГО ПОЛУОСТРОВА</t>
  </si>
  <si>
    <t>Иванкова Т.В.</t>
  </si>
  <si>
    <t>978-5-16-018006-9</t>
  </si>
  <si>
    <t>05.04.02, 05.04.05, 05.04.06, 05.06.01</t>
  </si>
  <si>
    <t>Институт безопасности гидротехнических сооружений</t>
  </si>
  <si>
    <t>340900.10.01</t>
  </si>
  <si>
    <t>Обогащение полезных ископаемых: Уч.пос. / К.И.Лукина -М.:НИЦ ИНФРА-М,2023.-224 с.(ВО: Специалитет)(П)</t>
  </si>
  <si>
    <t>ОБОГАЩЕНИЕ ПОЛЕЗНЫХ ИСКОПАЕМЫХ</t>
  </si>
  <si>
    <t>Лукина К.И., Якушкин В.П., Муклакова А.Н.</t>
  </si>
  <si>
    <t>978-5-16-010748-6</t>
  </si>
  <si>
    <t>21.05.04</t>
  </si>
  <si>
    <t>Допущено Учебно-методическим объединением вузов Российской Федерации по образованию в области горного дела в качестве учебного пособия для студентов вузов, обучающихся по специальностям 21.05.04 «Горное дело» и 21.05.05 «Физические процессы горного или нефтегазового производства» (квалификация «горный инженер»)</t>
  </si>
  <si>
    <t>675202.04.01</t>
  </si>
  <si>
    <t>Обработка осадков сточных вод: Уч.пос. / Б.С.Ксенофонтов - М.:НИЦ ИНФРА-М,2022 - 262 с.-(ВО)(П)</t>
  </si>
  <si>
    <t>ОБРАБОТКА ОСАДКОВ СТОЧНЫХ ВОД</t>
  </si>
  <si>
    <t>978-5-16-014577-8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</si>
  <si>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укрупненной группе специальностей и направлений  20.04.00 «Техносферная безопасность и природообустройство» (квалификация (степень) «магистр») (протокол № 10 от 27.05.2019)</t>
  </si>
  <si>
    <t>673673.11.01</t>
  </si>
  <si>
    <t>Обращение с отходами производства и потребления: Уч.пос. / Б.Б.Бобович-М.:НИЦ ИНФРА-М,2024-436 с.(ВО)(П)</t>
  </si>
  <si>
    <t>ОБРАЩЕНИЕ С ОТХОДАМИ ПРОИЗВОДСТВА И ПОТРЕБЛЕНИЯ</t>
  </si>
  <si>
    <t>Бобович Б.Б.</t>
  </si>
  <si>
    <t>978-5-16-013696-7</t>
  </si>
  <si>
    <t>05.03.06, 20.03.01, 20.03.02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</si>
  <si>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направлению подготовки 20.03.01 «Техносферная безопасность» (квалификация (степень) «бакалавр»)</t>
  </si>
  <si>
    <t>751195.01.01</t>
  </si>
  <si>
    <t>Общая геология. Новое о Земле: Уч.пос. / Н.В.Короновский-М.:НИЦ ИНФРА-М,2023.-182 с.(ВО)(п)</t>
  </si>
  <si>
    <t>ОБЩАЯ ГЕОЛОГИЯ. НОВОЕ О ЗЕМЛЕ</t>
  </si>
  <si>
    <t>Короновский Н.В., Брянцева Г.В.</t>
  </si>
  <si>
    <t>978-5-16-017164-7</t>
  </si>
  <si>
    <t>05.03.01, 21.05.03, 21.05.02, 21.05.04</t>
  </si>
  <si>
    <t>Апрель, 2023</t>
  </si>
  <si>
    <t>634605.09.01</t>
  </si>
  <si>
    <t>Общая геология: практ. занятия: Уч.пос. / А.И.Гущин - М.:НИЦ ИНФРА-М,2023 - 236 с.(ВО)(п)</t>
  </si>
  <si>
    <t>ОБЩАЯ ГЕОЛОГИЯ: ПРАКТИЧЕСКИЕ ЗАНЯТИЯ</t>
  </si>
  <si>
    <t>Гущин А.И., Романовская М.А., Брянцева Г.В. и др.</t>
  </si>
  <si>
    <t>978-5-16-019205-5</t>
  </si>
  <si>
    <t>21.02.12, 21.02.10, 05.03.01, 05.03.02, 06.03.02</t>
  </si>
  <si>
    <t>Рекомендовано в качестве учебного пособия для студентов высших учебных заведений, обучающихся по направлениям подготовки 05.03.01 «Геология», 05.03.02 «География», 06.03.02 «Почвоведение» (квалификация (степень) «бакалавр»)</t>
  </si>
  <si>
    <t>296000.05.01</t>
  </si>
  <si>
    <t>Общая геология: твиты о Земле / Н.В.Короновский - М.:НИЦ ИНФРА-М,2020 - 154 с.(О)</t>
  </si>
  <si>
    <t>ОБЩАЯ ГЕОЛОГИЯ: ТВИТЫ О ЗЕМЛЕ</t>
  </si>
  <si>
    <t>978-5-16-011823-9</t>
  </si>
  <si>
    <t>Твитбук</t>
  </si>
  <si>
    <t>403000.06.01</t>
  </si>
  <si>
    <t>Общая геология: Уч. / Н.В.Короновский - 2 изд. - М.:НИЦ ИНФРА-М,2024 - 474 с.(ВО)(п)</t>
  </si>
  <si>
    <t>ОБЩАЯ ГЕОЛОГИЯ, ИЗД.2</t>
  </si>
  <si>
    <t>978-5-16-018945-1</t>
  </si>
  <si>
    <t>21.02.12, 21.02.10, 05.03.01, 05.03.06, 20.03.02, 05.04.01, 21.05.02</t>
  </si>
  <si>
    <t>Рекомендовано Учебно-методическим объединением по классическому университетскому образованию в качестве учебника для студентов высших учебных заведений, обучающихся по направлению подготовки 05.03.01 «Геология» (квалификация (степень) «бакалавр»)</t>
  </si>
  <si>
    <t>728407.04.01</t>
  </si>
  <si>
    <t>Общая и неорганическая химия в схемах...: Уч.пос. / А.П.Гаршин - 2 изд. - М.:НИЦ ИНФРА-М,2024 - 304 с(ВО)(п)</t>
  </si>
  <si>
    <t>ОБЩАЯ И НЕОРГАНИЧЕСКАЯ ХИМИЯ В СХЕМАХ, РИСУНКАХ, ТАБЛИЦАХ, ХИМИЧЕСКИХ РЕАКЦИЯХ, ИЗД.2</t>
  </si>
  <si>
    <t>Гаршин А.П.</t>
  </si>
  <si>
    <t>978-5-16-018765-5</t>
  </si>
  <si>
    <t>04.03.02, 04.03.01, 33.05.01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</si>
  <si>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нехимическим направлениям подготовки (квалификация (степень) «бакалавр») (протокол № 8 от 22.06.2020)</t>
  </si>
  <si>
    <t>660063.04.01</t>
  </si>
  <si>
    <t>Общая физика: сб. задач: Уч.пос. / Под ред. Павлова С.В. - М.:НИЦ ИНФРА-М,2023 - 319 с.(ВО: Бакалавр.)(П)</t>
  </si>
  <si>
    <t>ОБЩАЯ ФИЗИКА: СБОРНИК ЗАДАЧ</t>
  </si>
  <si>
    <t>Павлов С.В., Скипетрова Л.А., Павлов С.В.</t>
  </si>
  <si>
    <t>978-5-16-013262-4</t>
  </si>
  <si>
    <t>05.03.01, 05.03.02, 05.03.03, 05.03.04, 05.03.05, 05.03.06, 06.03.02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</si>
  <si>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направлениям подготовки 05.03.01 «Геология», 05.03.02 «География», 05.03.06 «Экология и природопользование», 06.03.02 «Почвоведение» (квалификация (степень) «бакалавр»)</t>
  </si>
  <si>
    <t>301700.02.01</t>
  </si>
  <si>
    <t>Общая химическая технология в пример., зад., лаб..: Уч. пос./Л.Л.Товажнянский-ИНФРА-М,2017-447с.(ВО)</t>
  </si>
  <si>
    <t>ОБЩАЯ ХИМИЧЕСКАЯ ТЕХНОЛОГИЯ В ПРИМЕРАХ, ЗАДАЧАХ, ЛАБОРАТОРНЫХ РАБОТАХ И ТЕСТАХ</t>
  </si>
  <si>
    <t>Товажнянский Л.Л., Кошелева М.К., Бухкало С.И.</t>
  </si>
  <si>
    <t>978-5-16-010186-6</t>
  </si>
  <si>
    <t>Допущено учебно-методическим объединением по образованию в области химической технологии и биотехнологии в качестве учебного пособия для студентов высших учебных заведений, обучающихся по направлению 18.04.01 «Химическая технология"</t>
  </si>
  <si>
    <t>Харьковский политехнический институт</t>
  </si>
  <si>
    <t>799686.01.01</t>
  </si>
  <si>
    <t>Общая химия: Уч.пос. / Л.П.Поддубных-М.:НИЦ ИНФРА-М,2024.-178 с.(ВО (КрГАУ))(п)</t>
  </si>
  <si>
    <t>ОБЩАЯ ХИМИЯ</t>
  </si>
  <si>
    <t>Поддубных Л.П.</t>
  </si>
  <si>
    <t>978-5-16-019036-5</t>
  </si>
  <si>
    <t>35.03.03, 35.03.05, 35.03.06, 35.03.07, 35.03.04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</si>
  <si>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обучающихся по направлениям подготовки 35.03.03 «Агрохимия и агропочвоведение» и 35.03.04 «Агрономия»</t>
  </si>
  <si>
    <t>299400.06.01</t>
  </si>
  <si>
    <t>Общая экология человека: Уч. /Б.Б.Прохоров - М.:НИЦ ИНФРА-М,2023 - 424с. (ВО:Бакалавриат)(П)</t>
  </si>
  <si>
    <t>ОБЩАЯ ЭКОЛОГИЯ ЧЕЛОВЕКА</t>
  </si>
  <si>
    <t>Б.Б.Прохоров, М.В.Черковец</t>
  </si>
  <si>
    <t>978-5-16-010142-2</t>
  </si>
  <si>
    <t>05.03.06, 05.04.06, 39.04.02, 44.03.05, 39.03.02</t>
  </si>
  <si>
    <t>Рекомендовано в качестве учебника для студентов высших учебных заведений,обучающихся по направлению подготовки 05.03.06. «Экология и природопользование» (квалификация (степень) «бакалавр»)</t>
  </si>
  <si>
    <t>063346.10.01</t>
  </si>
  <si>
    <t>Общая экология: Курс лекций / В.В.Маврищев - 3 изд. - М.:НИЦ ИНФРА-М, Нов. знание,2024 - 299 с.(ВО)</t>
  </si>
  <si>
    <t>ОБЩАЯ ЭКОЛОГИЯ, ИЗД.3</t>
  </si>
  <si>
    <t>Маврищев В. В.</t>
  </si>
  <si>
    <t>978-5-16-004684-6</t>
  </si>
  <si>
    <t>Курс лекций</t>
  </si>
  <si>
    <t>00.05.12, 00.03.12</t>
  </si>
  <si>
    <t>Белорусский государственный педагогический университет им. М. Танка</t>
  </si>
  <si>
    <t>0311</t>
  </si>
  <si>
    <t>070700.17.01</t>
  </si>
  <si>
    <t>Общая экология: Уч. / М.В.Гальперин - 2 изд. - М.:Форум, НИЦ ИНФРА-М,2023 - 336 с.-(СПО)(П)</t>
  </si>
  <si>
    <t>ОБЩАЯ ЭКОЛОГИЯ, ИЗД.2</t>
  </si>
  <si>
    <t>Гальперин М. В.</t>
  </si>
  <si>
    <t>978-5-00091-469-4</t>
  </si>
  <si>
    <t>00.02.36, 00.02.37</t>
  </si>
  <si>
    <t>Московский техникум креативных индустрий им. Л.Б. Красина</t>
  </si>
  <si>
    <t>719285.02.01</t>
  </si>
  <si>
    <t>Обыкновенные дифференц. урав. и вариац. исчисл.: Уч.пос. / Е.А.Коган-М.:НИЦ ИНФРА-М,2020.-293 с.(ВО)(П)</t>
  </si>
  <si>
    <t>ОБЫКНОВЕННЫЕ ДИФФЕРЕНЦИАЛЬНЫЕ УРАВНЕНИЯ И ВАРИАЦИОННОЕ ИСЧИСЛЕНИЕ</t>
  </si>
  <si>
    <t>Коган Е.А.</t>
  </si>
  <si>
    <t>978-5-16-015817-4</t>
  </si>
  <si>
    <t>15.03.03, 23.05.01, 01.03.02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</si>
  <si>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01.03.02 «Прикладная математика и информатика», 15.03.03 «Прикладная механика» (квалификация (степень) «бакалавр») (протокол № 18 от 25.11.2019)</t>
  </si>
  <si>
    <t>632328.05.01</t>
  </si>
  <si>
    <t>Обыкновенные дифференциальные уравнения. Практ.: Уч.пос. / А.В.Пантелеев-М.:НИЦ ИНФРА-М,2023-432с(П)</t>
  </si>
  <si>
    <t>ОБЫКНОВЕННЫЕ ДИФФЕРЕНЦИАЛЬНЫЕ УРАВНЕНИЯ. ПРАКТИКУМ</t>
  </si>
  <si>
    <t>Пантелеев А.В., Якимова А.С., Рыбаков К.А.</t>
  </si>
  <si>
    <t>978-5-16-011973-1</t>
  </si>
  <si>
    <t>00.03.06, 02.03.02, 04.03.02, 02.03.03, 03.03.02, 03.03.03, 01.03.03, 01.03.04, 24.03.01, 01.03.01, 02.03.01, 01.03.02</t>
  </si>
  <si>
    <t>Рекомендовано в качестве учебного пособия для студентов высших учебных заведений, обучающихся по направлениям подготовки естественных наук, техники, информатики и экономики (квалификация (степень) «бакалавр»)</t>
  </si>
  <si>
    <t>725118.01.01</t>
  </si>
  <si>
    <t>Операторные урав. и смежные воп. устойчивости дифференц. уравнений/ Л.К.Орлик-М.:НИЦ ИНФРА-М,2020.-296 с.(О)</t>
  </si>
  <si>
    <t>ОПЕРАТОРНЫЕ УРАВНЕНИЯ И СМЕЖНЫЕ ВОПРОСЫ УСТОЙЧИВОСТИ ДИФФЕРЕНЦИАЛЬНЫХ УРАВНЕНИЙ</t>
  </si>
  <si>
    <t>Орлик Л.К., Жукова Г.С.</t>
  </si>
  <si>
    <t>978-5-16-015846-4</t>
  </si>
  <si>
    <t>02.04.03, 01.04.04, 01.04.01, 02.04.01, 02.04.02, 01.04.02, 03.04.01, 03.04.02, 03.04.03, 01.04.03, 01.06.01, 02.06.01, 03.06.01</t>
  </si>
  <si>
    <t>Российский государственный социальный университет</t>
  </si>
  <si>
    <t>296100.04.01</t>
  </si>
  <si>
    <t>Оптимизация в геологоразведочном производстве: Уч. пос. / В.В.Нескоромных-М.:НИЦ ИНФРА-М,2023.-200 с.(О)</t>
  </si>
  <si>
    <t>ОПТИМИЗАЦИЯ В ГЕОЛОГОРАЗВЕДОЧНОМ ПРОИЗВОДСТВЕ</t>
  </si>
  <si>
    <t>Нескоромных В. В.</t>
  </si>
  <si>
    <t>978-5-16-010097-5</t>
  </si>
  <si>
    <t>21.05.03, 21.05.02, 21.05.04</t>
  </si>
  <si>
    <t>139200.15.01</t>
  </si>
  <si>
    <t>Организация науч.-исслед.раб. студ.: Уч.пос. / В.В.Кукушкина - 2 изд./ В.В.Кукушкина-М.:НИЦ ИНФРА-М,2023-345 с(ВО)</t>
  </si>
  <si>
    <t>ОРГАНИЗАЦИЯ НАУЧНО-ИССЛЕДОВАТЕЛЬСКОЙ РАБОТЫ СТУДЕНТОВ (МАГИСТРОВ), ИЗД.2</t>
  </si>
  <si>
    <t>Янковская В.В.</t>
  </si>
  <si>
    <t>978-5-16-012783-5</t>
  </si>
  <si>
    <t>00.04.16, 38.04.01, 38.04.02, 38.04.03, 38.04.04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</si>
  <si>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направлениям подготовки 38.04.02 «Менеджмент», 38.04.01 «Экономика», (квалификация (степень) «магистр»)</t>
  </si>
  <si>
    <t>139200.13.01</t>
  </si>
  <si>
    <t>Организация научно-исслед.работы студ.: Уч.пос. / В.В.Кукушкина - 1 изд./ В.В.Кукушкина-М.:НИЦ ИНФРА-М,2021-264 с.-(ВО: Магистр.)</t>
  </si>
  <si>
    <t>ОРГАНИЗАЦИЯ НАУЧНО-ИССЛЕДОВАТЕЛЬСКОЙ РАБОТЫ СТУДЕНТОВ (МАГИСТРОВ)</t>
  </si>
  <si>
    <t>978-5-16-004167-4</t>
  </si>
  <si>
    <t>Допущено Советом Учебно-методического объединения по образованию в области менеджмента в качестве учебного пособия по направлению подготовки 38.04.02 «Менеджмент»</t>
  </si>
  <si>
    <t>681289.06.01</t>
  </si>
  <si>
    <t>Органическая химия в пищевых биотехнологиях: Уч. / Под ред. Блохина Ю.И.-М.:НИЦ ИНФРА-М,2024-252с(ВО)(п)</t>
  </si>
  <si>
    <t>ОРГАНИЧЕСКАЯ ХИМИЯ В ПИЩЕВЫХ БИОТЕХНОЛОГИЯХ</t>
  </si>
  <si>
    <t>Блохин Ю.И., Яркова Т.А., Соколова О.А.</t>
  </si>
  <si>
    <t>978-5-16-019083-9</t>
  </si>
  <si>
    <t>19.03.02, 19.03.03, 19.03.04, 19.03.01</t>
  </si>
  <si>
    <t>Рекомендовано Учебно-методическим советом ВО в качестве учебника для студентов высших учебных заведений, обучающихся по направлениям подготовки 19.03.01 «Биотехнология», 19.03.02 «Продукты питания из растительного сырья», 19.03.03 «Продукты питания животного происхождения», 19.03.04 «Технология продукции и организация общественного питания», 38.03.07 «Товароведение» (квалификация (степень) «бакалавр»)</t>
  </si>
  <si>
    <t>Московская государственная академия ветеринарной медицины и биотехнологии - МВА им. К.И. Скрябина</t>
  </si>
  <si>
    <t>281200.10.01</t>
  </si>
  <si>
    <t>Органическая химия. Краткий курс: Уч.пос. / В.Г.Иванов - М.:КУРС,НИЦ ИНФРА-М,2022 - 222 с.(О)</t>
  </si>
  <si>
    <t>ОРГАНИЧЕСКАЯ ХИМИЯ. КРАТКИЙ КУРС</t>
  </si>
  <si>
    <t>978-5-905554-61-2</t>
  </si>
  <si>
    <t>43.01.08, 18.01.26, 18.01.16, 18.01.17, 18.01.30, 18.01.31, 43.02.07, 18.02.02, 18.02.03, 18.02.04, 18.02.06, 18.02.10, 18.02.01, 19.02.01, 18.02.12</t>
  </si>
  <si>
    <t>390400.05.01</t>
  </si>
  <si>
    <t>Органическая химия: Уч. / В.Г.Иванов - 8изд. - М.:НИЦ ИНФРА-М,2023 - 560с.(ВО:Бакалавриат)</t>
  </si>
  <si>
    <t>ОРГАНИЧЕСКАЯ ХИМИЯ, ИЗД.8</t>
  </si>
  <si>
    <t>В.Г.Иванов, В.А.Горленко, О.Н.Гева</t>
  </si>
  <si>
    <t>978-5-16-011194-0</t>
  </si>
  <si>
    <t>44.05.01, 44.03.01, 44.03.05, 44.03.04, 44.03.02, 44.03.03</t>
  </si>
  <si>
    <t>0816</t>
  </si>
  <si>
    <t>799696.01.01</t>
  </si>
  <si>
    <t>Органическая химия: уч.пос. / Т.В.Ступко и др.-М.:НИЦ ИНФРА-М,2023.-238 с..-(ВО (КрГАУ))(п)</t>
  </si>
  <si>
    <t>ОРГАНИЧЕСКАЯ ХИМИЯ</t>
  </si>
  <si>
    <t>Ступко Т.В., Зейберт Г.Ф., Стутко О.В.</t>
  </si>
  <si>
    <t>978-5-16-018824-9</t>
  </si>
  <si>
    <t>19.03.02, 19.03.03, 35.03.07, 38.03.06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</si>
  <si>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направлениям подготовки 19.03.02 «Продукты питания из растительного сырья», 19.03.03 «Продукты питания животного происхождения», 35.03.07 «Технология производства и переработки сельскохозяйственной продукции», 38.03.06 «Торговое дело»</t>
  </si>
  <si>
    <t>660120.02.01</t>
  </si>
  <si>
    <t>Ортогональные проекции и 3D-моделиров. в стереометрии:Уч.пос. /Л.Р.Юренкова-М.:НИЦ ИНФРА-М,2023-130с</t>
  </si>
  <si>
    <t>ОРТОГОНАЛЬНЫЕ ПРОЕКЦИИ И 3D-МОДЕЛИРОВАНИЕ В СТЕРЕОМЕТРИИ</t>
  </si>
  <si>
    <t>Юренкова Л.Р.</t>
  </si>
  <si>
    <t>978-5-16-014768-0</t>
  </si>
  <si>
    <t>00.02.31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</si>
  <si>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15 от 14.10.2019)</t>
  </si>
  <si>
    <t>333200.05.01</t>
  </si>
  <si>
    <t>Осмысленная науч.деятельность..: Моногр./ Э .А.Соснин - М.:ИЦ РИОР,НИЦ ИНФРА-М,2022 - 148 с.(Науч.мысль)(о)</t>
  </si>
  <si>
    <t>ОСМЫСЛЕННАЯ НАУЧНАЯ ДЕЯТЕЛЬНОСТЬ: ДИССЕРТАНТУ - О ЖИЗНИ ЗНАНИЙ, ЗАЩИЩАЕМЫХ В ФОРМЕ ПОЛОЖЕНИЙ</t>
  </si>
  <si>
    <t>Э.А.Соснин, Б.Н.Пойзнер</t>
  </si>
  <si>
    <t>978-5-369-01430-1</t>
  </si>
  <si>
    <t>01.04.04, 01.04.01, 01.04.02, 03.04.01, 04.04.01, 03.04.02, 04.04.02, 03.04.03, 01.04.03, 06.04.01, 05.04.01, 05.04.02, 05.04.03, 05.04.04, 05.04.05, 06.04.02, 05.04.06, 01.06.01, 03.06.01, 04.06.01, 05.06.01, 06.06.01, 04.07.01, 06.07.01, 23.03.01</t>
  </si>
  <si>
    <t>724965.01.01</t>
  </si>
  <si>
    <t>Основы антропологии: Уч.пос. / З.И.Тюмасева - М.:НИЦ ИНФРА-М,2020 - 196 с.-(ВО: Магистратура)(П)</t>
  </si>
  <si>
    <t>ОСНОВЫ АНТРОПОЛОГИИ</t>
  </si>
  <si>
    <t>Тюмасева З.И.</t>
  </si>
  <si>
    <t>978-5-16-016012-2</t>
  </si>
  <si>
    <t>46.03.01, 46.04.03, 44.04.02, 46.04.01, 44.04.01, 44.04.03, 44.04.04, 44.03.01, 44.03.05</t>
  </si>
  <si>
    <t>Южно-Уральский государственный гуманитарно-педагогический университет</t>
  </si>
  <si>
    <t>782284.01.01</t>
  </si>
  <si>
    <t>Основы безопасности жизнедеятельности: Уч.пос.: Ч.1 / А.Н.Ковальчук-М.:НИЦ ИНФРА-М,2023.-287 с.(СПО)(п)</t>
  </si>
  <si>
    <t>ОСНОВЫ БЕЗОПАСНОСТИ ЖИЗНЕДЕЯТЕЛЬНОСТИ. ЧАСТЬ 1. ОСНОВЫ ЗАЩИТЫ НАСЕЛЕНИЯ И ТЕРРИТОРИЙ ОТ ВОЕННЫХ, ТЕХНОГЕННЫХ И ПРИРОДНЫХ ЧРЕЗВЫЧАЙНЫХ СИТУАЦИЙ, Т.1</t>
  </si>
  <si>
    <t>Ковальчук А.Н., Ковальчук Н.М.</t>
  </si>
  <si>
    <t>Среднее профессиональное образование (КрГАУ)</t>
  </si>
  <si>
    <t>978-5-16-018124-0</t>
  </si>
  <si>
    <t>56.05.01, 56.05.05, 00.03.01, 00.01.01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</si>
  <si>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образовательную программу СПО на базе основного общего образования (протокол № 8 от 19.10.2022)</t>
  </si>
  <si>
    <t>200500.05.01</t>
  </si>
  <si>
    <t>Основы безопасности труда в техносфере: уч. / Под ред. Ромейко В.Л.-М.:НИЦ ИНФРА-М,2018.-351 с..-(ВО: Бакалавриат)(П 7БЦ)</t>
  </si>
  <si>
    <t>ОСНОВЫ БЕЗОПАСНОСТИ ТРУДА В ТЕХНОСФЕРЕ</t>
  </si>
  <si>
    <t>Ромейко В. Л., Ляпина О. П., Татаренко В. И., Ромейко В. Л.</t>
  </si>
  <si>
    <t>978-5-16-005769-9</t>
  </si>
  <si>
    <t>20.03.01, 18.02.12, 18.01.33</t>
  </si>
  <si>
    <t>Сибирский государственный университет геосистем и технологий</t>
  </si>
  <si>
    <t>666723.04.01</t>
  </si>
  <si>
    <t>Основы биологической безопасности: Уч.практ.пос. / М.Ш.Азаев - 2 изд. - М.:НИЦ ИНФРА-М,2022 - 225с.(П)</t>
  </si>
  <si>
    <t>ОСНОВЫ БИОЛОГИЧЕСКОЙ БЕЗОПАСНОСТИ, ИЗД.2</t>
  </si>
  <si>
    <t>Азаев М.Ш., Дадаева А.А., Агафонов А.П. и др.</t>
  </si>
  <si>
    <t>978-5-16-014608-9</t>
  </si>
  <si>
    <t>Учебно-практическое пособие</t>
  </si>
  <si>
    <t>06.03.01, 06.03.02, 19.03.01, 32.04.01, 06.04.01, 19.04.01, 06.05.01, 31.05.01, 31.05.02, 32.05.01, 31.05.03, 33.05.01, 34.03.01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</si>
  <si>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укрупненным  группам специальностей и направлений 06.00.00 «Биологические науки», 19.00.00 «Промышленная экология и биотехнологии», 31.00.00 «Клиническая медицина» (протокол № 13 от 16.09.2019)</t>
  </si>
  <si>
    <t>419900.10.01</t>
  </si>
  <si>
    <t>Основы биохимии: Уч. / Г.М.Суслянок, - 2-е изд.,-М.:НИЦ ИНФРА-М,2024.-400 с.(ВО)(п)</t>
  </si>
  <si>
    <t>ОСНОВЫ БИОХИМИИ, ИЗД.2</t>
  </si>
  <si>
    <t>Суслянок Г.М.</t>
  </si>
  <si>
    <t>978-5-16-019160-7</t>
  </si>
  <si>
    <t>04.03.01, 06.03.01, 19.03.02, 19.03.03, 19.03.04, 19.03.01, 19.04.01, 19.04.02, 19.04.03, 19.04.04, 29.04.01, 29.04.05, 29.03.01, 29.03.05, 44.03.01, 44.03.05</t>
  </si>
  <si>
    <t>Рекомендовано Учебно-методическим объединением по образованию в области технологии продуктов питания и пищевой инженерии в качестве учебного пособия для студентов, обучающихся по направлениям подготовки 19.03.01 «Биотехнология», 19.03.02 «Продукты питания из растительного сырья» и 19.03.04 «Технология продукции и организация общественного питания» (квалификация (степень) «бакалавр»)</t>
  </si>
  <si>
    <t>419900.08.01</t>
  </si>
  <si>
    <t>Основы биохимии: Уч.пос. / Т.Л.Ауэрман и др. - М.:НИЦ ИНФРА-М,2021 - 400 с.-(ВО: Бакалавриат)(П)</t>
  </si>
  <si>
    <t>ОСНОВЫ БИОХИМИИ</t>
  </si>
  <si>
    <t>Ауэрман Т. Л., Генералова Т. Г., Суслянок Г. М.</t>
  </si>
  <si>
    <t>978-5-16-005295-3</t>
  </si>
  <si>
    <t>Рекомендовано Учебно-методическим объединением по образованию в области технологии продуктов питания и пищевой инженерии в качестве учебного пособия для студентов, обучающихся по направлениям подготовки 19.03.01 «Биотехнология», 19.03.02 «Продукты питания из растительного сырья»  и 19.03.04 «Технология продукции и организация общественного питания» (квалификация (степень) «бакалавр»)</t>
  </si>
  <si>
    <t>750864.04.01</t>
  </si>
  <si>
    <t>Основы водоподготовки и водоотведения: Уч.пос. / Б.С.Ксенофонтов-М.:НИЦ ИНФРА-М,2024.-256 с.(СПО)(П)</t>
  </si>
  <si>
    <t>ОСНОВЫ ВОДОПОДГОТОВКИ И ВОДООТВЕДЕНИЯ</t>
  </si>
  <si>
    <t>978-5-16-016819-7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</si>
  <si>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08.02.04 «Водоснабжение и водоотведение» (протокол № 5 от 19.05.2021)</t>
  </si>
  <si>
    <t>632535.07.01</t>
  </si>
  <si>
    <t>Основы генетики: Уч. / В.В.Иванищев - М.:ИЦ РИОР, НИЦ ИНФРА-М,2023 - 207 с.(О)</t>
  </si>
  <si>
    <t>ОСНОВЫ ГЕНЕТИКИ</t>
  </si>
  <si>
    <t>978-5-369-01640-4</t>
  </si>
  <si>
    <t>06.03.01, 06.03.02, 06.05.01, 31.05.01, 31.05.02, 32.05.01, 35.03.05, 44.03.05, 35.03.04, 34.03.01</t>
  </si>
  <si>
    <t>152900.08.01</t>
  </si>
  <si>
    <t>Основы гуманитарной географии: Уч. пос. / Ю.Н. Голубчиков - М.: НИЦ ИНФРА-М, 2024 - 364с.(ВО) (п)</t>
  </si>
  <si>
    <t>ОСНОВЫ ГУМАНИТАРНОЙ ГЕОГРАФИИ</t>
  </si>
  <si>
    <t>Голубчиков Ю.Н.</t>
  </si>
  <si>
    <t>978-5-16-004682-2</t>
  </si>
  <si>
    <t>05.03.02</t>
  </si>
  <si>
    <t>Допущено УМС по географии Учебно-методического объединения по классическому университетскому образованию в качестве учебного пособия для студентов высших учебных заведений, обучающихся по специальности "География"</t>
  </si>
  <si>
    <t>073550.08.01</t>
  </si>
  <si>
    <t>Основы дискретной математики: Уч.пос. / В.А.Осипова, - 2 изд.-М.:Форум, НИЦ ИНФРА-М,2024.-157 с.(ВО)(п)</t>
  </si>
  <si>
    <t>ОСНОВЫ ДИСКРЕТНОЙ МАТЕМАТИКИ, ИЗД.2</t>
  </si>
  <si>
    <t>Осипова В. А.</t>
  </si>
  <si>
    <t>978-5-00091-787-9</t>
  </si>
  <si>
    <t>02.03.02, 04.03.02, 02.03.03, 03.03.02, 09.03.04, 11.03.02, 02.04.03, 01.03.01, 02.03.01, 01.03.02, 09.03.03, 45.03.04</t>
  </si>
  <si>
    <t>Рекомендовано УМО в области экономики, менеджмента, логистики и бизнес-информатики в качестве учебного пособия для студентов высших учебных заведений, обучающихся по направлению подготовки 38.03.01 «Экономика»</t>
  </si>
  <si>
    <t>046640.17.01</t>
  </si>
  <si>
    <t>Основы инженерной геологии: Уч. / Н.А.Платов - 4 изд. - М.:НИЦ ИНФРА-М,2019 - 187 с.-(СПО)(П)</t>
  </si>
  <si>
    <t>ОСНОВЫ ИНЖЕНЕРНОЙ ГЕОЛОГИИ, ИЗД.4</t>
  </si>
  <si>
    <t>Платов Н. А.</t>
  </si>
  <si>
    <t>978-5-16-004554-2</t>
  </si>
  <si>
    <t>08.01.16, 21.02.09, 21.02.10, 08.02.01, 08.02.06, 08.02.07, 08.02.08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</si>
  <si>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среднего профессионального образования, обучающихся по специальности «Строительство и эксплуатация зданий и сооружений»</t>
  </si>
  <si>
    <t>046640.20.01</t>
  </si>
  <si>
    <t>Основы инженерной геологии: Уч. / Н.А.Платов - 5 изд. - М.:НИЦ ИНФРА-М,2023 - 190 с.(СПО)(П)</t>
  </si>
  <si>
    <t>ОСНОВЫ ИНЖЕНЕРНОЙ ГЕОЛОГИИ, ИЗД.5</t>
  </si>
  <si>
    <t>Платов Н.А.</t>
  </si>
  <si>
    <t>978-5-16-016056-6</t>
  </si>
  <si>
    <t>0521</t>
  </si>
  <si>
    <t>122950.09.01</t>
  </si>
  <si>
    <t>Основы информат.и матем.моделир.эколог.систем: Уч.пос./В.П.Мешалкин-2изд.-М.:НИЦ ИНФРА-М,2024-374с(ВО) (П)</t>
  </si>
  <si>
    <t>ОСНОВЫ ИНФОРМАТИЗАЦИИ И МАТЕМАТИЧЕСКОГО МОДЕЛИРОВАНИЯ ЭКОЛОГИЧЕСКИХ СИСТЕМ, ИЗД.2</t>
  </si>
  <si>
    <t>Бутусов О.Б., Мешалкин В.П.</t>
  </si>
  <si>
    <t>978-5-16-016994-1</t>
  </si>
  <si>
    <t>18.03.02, 18.04.02</t>
  </si>
  <si>
    <t>Допущено учебно-методическим объединением вузов Российской Федерации по образованию в области химической технологии и биотехнологии в качестве учебного пособия для бакалавриантов и магистрантов, обучающихся по направлению 18.03.02 «Энерго- и ресурсосберегающие процессы химической технологии, нефтехимии и биотехнологии»</t>
  </si>
  <si>
    <t>122950.10.01</t>
  </si>
  <si>
    <t>Основы информат.и матем.моделир.эколог.систем: Уч.пос./В.П.Мешалкин-М.:НИЦ ИНФРА-М,2020-357с(ВО) (О)</t>
  </si>
  <si>
    <t>ОСНОВЫ ИНФОРМАТИЗАЦИИ И МАТЕМАТИЧЕСКОГО МОДЕЛИРОВАНИЯ ЭКОЛОГИЧЕСКИХ СИСТЕМ</t>
  </si>
  <si>
    <t>Мешалкин В.П., Бутусов О.Б., Гнаук А.Г.</t>
  </si>
  <si>
    <t>978-5-16-009747-3</t>
  </si>
  <si>
    <t>Допущено учебно-методическим объединением вузов Российской Федерации по образованию в области химической технологии и биотехнологии в качестве учебного пособия для студентов, обучающихся по направлениям 18.03.02 и 18.04.02 «Энерго- и ресурсосберегающие процессы химической технологии, нефтехимии и биотехнологии»</t>
  </si>
  <si>
    <t>653331.06.01</t>
  </si>
  <si>
    <t>Основы кадастра недвижимости: Уч.пос. / С.В.Фокин - М.:НИЦ ИНФРА-М,2023 - 225 с.(ВО)(П)</t>
  </si>
  <si>
    <t>ОСНОВЫ КАДАСТРА НЕДВИЖИМОСТИ</t>
  </si>
  <si>
    <t>Фокин С.В., Шпортько О.Н.</t>
  </si>
  <si>
    <t>978-5-16-014413-9</t>
  </si>
  <si>
    <t>40.02.01, 40.02.02, 35.03.01, 21.04.02, 35.03.04, 40.02.03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</si>
  <si>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направлению подготовки 21.03.02 «Землеустройство и кадастры» (квалификация (степень) «бакалавр»)</t>
  </si>
  <si>
    <t>706524.01.01</t>
  </si>
  <si>
    <t>Основы кадастра недвижимости: Уч.пос. / С.В.Фокин-М.:НИЦ ИНФРА-М,2023.-225 с.(СПО)(п)</t>
  </si>
  <si>
    <t>978-5-16-015102-1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</si>
  <si>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 (протокол № 98 от 17.11.2022)</t>
  </si>
  <si>
    <t>704498.06.01</t>
  </si>
  <si>
    <t>Основы квантовой механики и физики атома: Уч.пос./ Под ред. Якимова В.А. - М.:НИЦ ИНФРА-М,2023 - 108с.(О)</t>
  </si>
  <si>
    <t>ОСНОВЫ КВАНТОВОЙ МЕХАНИКИ И ФИЗИКИ АТОМА</t>
  </si>
  <si>
    <t>Мозолевская Т.В., Филиппенко Ю.В., Якимов В.А.</t>
  </si>
  <si>
    <t>Военное образование (ЧВВМУ им. Нахимова)</t>
  </si>
  <si>
    <t>978-5-16-015428-2</t>
  </si>
  <si>
    <t>26.05.01, 26.05.02, 26.05.03, 26.05.04, 26.05.05, 26.05.06, 26.05.07</t>
  </si>
  <si>
    <t>Черноморское высшее военно-морское ордена Красной Звезды училище им. П.С. Нахимова</t>
  </si>
  <si>
    <t>672564.05.01</t>
  </si>
  <si>
    <t>Основы кибернетики: Уч.пос. / А.А.Вороненко - М.:НИЦ ИНФРА-М,2022.-189 с..-(ВО:Бакалавриат)(П)</t>
  </si>
  <si>
    <t>ОСНОВЫ КИБЕРНЕТИКИ</t>
  </si>
  <si>
    <t>Вороненко А.А.</t>
  </si>
  <si>
    <t>978-5-16-014004-9</t>
  </si>
  <si>
    <t>01.03.03, 01.03.04, 01.03.01, 01.03.02, 09.03.03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</si>
  <si>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направлениям подготовки  01.03.02 «Прикладная математика и информатика» и  02.03.02 «Фундаментальная информатика и информационные технологии</t>
  </si>
  <si>
    <t>188550.07.01</t>
  </si>
  <si>
    <t>Основы линейной алгебры и аналитической геометрии: Уч.пос. /В.Г.Шершнев-М.:НИЦ ИНФРА-М,2024-168с.(О)</t>
  </si>
  <si>
    <t>ОСНОВЫ ЛИНЕЙНОЙ АЛГЕБРЫ И АНАЛИТИЧЕСКОЙ ГЕОМЕТРИИ</t>
  </si>
  <si>
    <t>978-5-16-005479-7</t>
  </si>
  <si>
    <t>Рекомендовано в качестве учебного пособия для студентов высших учебных заведений. обучающихся по направлениям подготовки УГС 38.00.00 "Экономика и управление" (квалификация (степень) "бакалавр")</t>
  </si>
  <si>
    <t>478450.05.01</t>
  </si>
  <si>
    <t>Основы микробиологии и эколог. биотехнологии: Уч.пос. / Б.С.Ксенофонтов-М.:ИД ФОРУМ,НИЦ ИНФРА-М,2022-221с.(ВО)(П)</t>
  </si>
  <si>
    <t>ОСНОВЫ МИКРОБИОЛОГИИ И ЭКОЛОГИЧЕСКОЙ БИОТЕХНОЛОГИИ</t>
  </si>
  <si>
    <t>978-5-8199-0615-6</t>
  </si>
  <si>
    <t>05.03.06, 20.03.01, 19.03.01</t>
  </si>
  <si>
    <t>Допущено Учебно-методическим объединением вузов по университетскому политехническому образованию в качестве учебного пособия для студентов высших учебных заведений, обучающихся по направлению «Техносферная безопасность» (квалификация (степень) «бакалавр»)</t>
  </si>
  <si>
    <t>486850.06.01</t>
  </si>
  <si>
    <t>Основы минералогии и кристаллографии с..: Уч.пос. / В.П.Бондарев-М.:Форум, НИЦ ИНФРА-М,2023.-277 с.(ВО)(П)</t>
  </si>
  <si>
    <t>ОСНОВЫ МИНЕРАЛОГИИ И КРИСТАЛЛОГРАФИИ  С ЭЛЕМЕНТАМИ ПЕТРОГРАФИИ</t>
  </si>
  <si>
    <t>Бондарев В. П.</t>
  </si>
  <si>
    <t>978-5-00091-780-0</t>
  </si>
  <si>
    <t>21.02.12, 21.02.10, 04.03.01, 06.03.01, 04.04.01, 06.04.01, 04.05.01</t>
  </si>
  <si>
    <t>Рекомендовано в качестве учебного пособия для студентов биологических и химических специальностей педагогических вузов</t>
  </si>
  <si>
    <t>226600.06.01</t>
  </si>
  <si>
    <t>Основы научных исслед. (Общ.курс): Уч.пос. / В.В.Космин - 3 изд.-М.:ИЦ РИОР,НИЦ ИНФРА-М,2017-227с(О)</t>
  </si>
  <si>
    <t>ОСНОВЫ НАУЧНЫХ ИССЛЕДОВАНИЙ (ОБЩИЙ КУРС), ИЗД.3</t>
  </si>
  <si>
    <t>Космин В. В.</t>
  </si>
  <si>
    <t>978-5-369-01464-6</t>
  </si>
  <si>
    <t>00.05.16, 00.04.16</t>
  </si>
  <si>
    <t>226600.14.01</t>
  </si>
  <si>
    <t>Основы научных исслед. (Общий курс): Уч.пос. / В.В.Космин - 5 изд. - М.:ИЦ РИОР, НИЦ ИНФРА-М,2023 - 298 с.(П)</t>
  </si>
  <si>
    <t>ОСНОВЫ НАУЧНЫХ ИССЛЕДОВАНИЙ (ОБЩИЙ КУРС), ИЗД.5</t>
  </si>
  <si>
    <t>Космин В.В., Космин А.В.</t>
  </si>
  <si>
    <t>978-5-369-01901-6</t>
  </si>
  <si>
    <t>0522</t>
  </si>
  <si>
    <t>226600.11.01</t>
  </si>
  <si>
    <t>Основы научных исследований (Общий курс): Уч.пос. / В.В.Космин-4 изд.-М.:ИЦ РИОР,НИЦ ИНФРА-М,2021-238с(П)</t>
  </si>
  <si>
    <t>ОСНОВЫ НАУЧНЫХ ИССЛЕДОВАНИЙ (ОБЩИЙ КУРС), ИЗД.4</t>
  </si>
  <si>
    <t>Космин В.В.</t>
  </si>
  <si>
    <t>978-5-369-01753-1</t>
  </si>
  <si>
    <t>0418</t>
  </si>
  <si>
    <t>743891.03.01</t>
  </si>
  <si>
    <t>Основы научных исследований: Уч. / Л.Е.Басовский - М.:НИЦ ИНФРА-М,2023 - 257 с.(ВО: Бакалавр.)(П)</t>
  </si>
  <si>
    <t>ОСНОВЫ НАУЧНЫХ ИССЛЕДОВАНИЙ</t>
  </si>
  <si>
    <t>Басовский Л.Е., Басовская Е.Н.</t>
  </si>
  <si>
    <t>978-5-16-016586-8</t>
  </si>
  <si>
    <t>00.03.13, 38.04.09, 38.04.07, 38.04.01, 38.04.08, 38.04.06, 38.04.02, 38.04.03, 38.04.04, 38.04.05, 38.05.01, 38.05.02, 38.03.01, 38.03.05, 38.03.06, 38.03.07, 38.03.02, 38.03.04, 38.03.03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</si>
  <si>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укрупненной группе направлений подготовки 38.00.00 «Экономика и управление» (квалификация (степень) «бакалавр») (протокол № 8 от 20.10.2021)</t>
  </si>
  <si>
    <t>116600.13.01</t>
  </si>
  <si>
    <t>Основы научных исследований: Уч.пос. / Б.И.Герасимов - 2 изд.-М.:Форум, НИЦ ИНФРА-М,2023.-271с(ВО)(П)</t>
  </si>
  <si>
    <t>ОСНОВЫ НАУЧНЫХ ИССЛЕДОВАНИЙ, ИЗД.2</t>
  </si>
  <si>
    <t>Герасимов Б.И., Дробышева В.В., Злобина Н.В. и др.</t>
  </si>
  <si>
    <t>978-5-00091-444-1</t>
  </si>
  <si>
    <t>00.03.16, 00.05.16, 38.04.02, 38.03.02</t>
  </si>
  <si>
    <t>Допущено Советом Учебно-методического объединения вузов России по образованию в области менеджмента в качестве учебного пособия по направлению подготовки 38.03.02 «Менеджмент»</t>
  </si>
  <si>
    <t>Тамбовский государственный технический университет</t>
  </si>
  <si>
    <t>795715.01.01</t>
  </si>
  <si>
    <t>Основы научных исследований: Уч.пос.-М.:НИЦ ИНФРА-М,2023.-167 с.(ВО: Бакалавриат (СФУ))(п)</t>
  </si>
  <si>
    <t>Сафронова Т.Н., Тимофеева А.М., Камоза Т.Л.</t>
  </si>
  <si>
    <t>978-5-16-018082-3</t>
  </si>
  <si>
    <t>43.03.03, 43.04.03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</si>
  <si>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43.03.03 «Гостиничное дело» (квалификация (степень) «бакалавр») (протокол № 6 от 08.06.2022)</t>
  </si>
  <si>
    <t>Октябрь, 2022</t>
  </si>
  <si>
    <t>306700.05.01</t>
  </si>
  <si>
    <t>Основы начертательной геометрии.Кратк. курс.: Уч.пос. / Г.В.Буланже - М.:КУРС, НИЦ ИНФРА-М,2022 - 144с.(О)</t>
  </si>
  <si>
    <t>ОСНОВЫ НАЧЕРТАТЕЛЬНОЙ ГЕОМЕТРИИ.КРАТКИЙ КУРС И СБОРНИК ЗАДАЧ.</t>
  </si>
  <si>
    <t>Буланже Г.В., Гущин И.А., Гончарова В.А.</t>
  </si>
  <si>
    <t>978-5-905554-79-7</t>
  </si>
  <si>
    <t>07.02.01, 15.03.02, 15.03.01, 15.03.04, 15.03.05, 15.04.01, 15.04.02, 15.04.05, 15.04.04, 15.05.01</t>
  </si>
  <si>
    <t>Московский государственный технологический университет "Станкин"</t>
  </si>
  <si>
    <t>297700.08.01</t>
  </si>
  <si>
    <t>Основы нефтегазовой геоэкологии: Уч.пос. / Ю.И.Пиковский - 2 изд., -М.:НИЦ ИНФРА-М,2023.-414 с.(П)</t>
  </si>
  <si>
    <t>ОСНОВЫ НЕФТЕГАЗОВОЙ ГЕОЭКОЛОГИИ, ИЗД.2</t>
  </si>
  <si>
    <t>Пиковский Ю.И., Исмаилов Н.М., Дорохова М.Ф. и др.</t>
  </si>
  <si>
    <t>978-5-16-018858-4</t>
  </si>
  <si>
    <t>Допущено Учебно-методическим объединением вузов РФ по классическому университетскому образованию в качестве учебного пособия для студентов высших учебных заведений, обучающихся по направлению подготовки 05.03.06 «Экология и природопользование»</t>
  </si>
  <si>
    <t>297700.05.01</t>
  </si>
  <si>
    <t>Основы нефтегазовой геоэкологии: Уч.пос. / Ю.И.Пиковский -М.:НИЦ ИНФРА-М,2022.-401 с.(ВО)(П)</t>
  </si>
  <si>
    <t>ОСНОВЫ НЕФТЕГАЗОВОЙ ГЕОЭКОЛОГИИ</t>
  </si>
  <si>
    <t>978-5-16-010112-5</t>
  </si>
  <si>
    <t>Допущено Учебно-методическим объединением вузов РФ по классическому университетскому образованию в качестве учебного пособия для студентов высших учебных заведений, обучающихся по направлению 05.03.06 «Экология и природопользование»</t>
  </si>
  <si>
    <t>292400.08.01</t>
  </si>
  <si>
    <t>Основы общей химии: Уч.пос. / В.И.Елфимов - 2 изд. - М.:НИЦ ИНФРА-М,2024 - 256 с.(ВО: Бакалавриат)(п)</t>
  </si>
  <si>
    <t>ОСНОВЫ ОБЩЕЙ ХИМИИ, ИЗД.2</t>
  </si>
  <si>
    <t>Елфимов В.И.</t>
  </si>
  <si>
    <t>978-5-16-010066-1</t>
  </si>
  <si>
    <t>31.02.01, 04.03.02, 04.03.01, 04.05.01, 31.05.01, 31.05.02, 31.05.03, 33.05.01, 18.02.12, 18.01.33</t>
  </si>
  <si>
    <t>186050.10.01</t>
  </si>
  <si>
    <t>Основы общей экологии: Уч.пос. / П.А.Волкова - М.:Форум,2023 - 128 с.(О)</t>
  </si>
  <si>
    <t>ОСНОВЫ ОБЩЕЙ ЭКОЛОГИИ</t>
  </si>
  <si>
    <t>Волкова П. А.</t>
  </si>
  <si>
    <t>978-5-91134-632-4</t>
  </si>
  <si>
    <t>Рекомендовано кафедрой экологического образования и устойчивого развития Московского института открытого образования в качестве учебного пособия для учеников старших профильных классов.</t>
  </si>
  <si>
    <t>Институт биологии внутренних вод им. И.Д. Папанина Российской академии наук</t>
  </si>
  <si>
    <t>684805.03.01</t>
  </si>
  <si>
    <t>Основы общей экологии: Уч.пос. / П.А.Волкова-М.:Форум, НИЦ ИНФРА-М,2023.-126 с..-(СПО)(О)</t>
  </si>
  <si>
    <t>Волкова П.А.</t>
  </si>
  <si>
    <t>978-5-00091-587-5</t>
  </si>
  <si>
    <t>Рекомендовано Учебно-методическим советом СПО в качестве учебного пособия для студентов учебных заведений, реализующих основную программу среднего профессионального образования на базе основного общего образования</t>
  </si>
  <si>
    <t>?2</t>
  </si>
  <si>
    <t>404500.09.01</t>
  </si>
  <si>
    <t>Основы природопользования: Уч.пос. / И.Ю.Григорьева - М.:НИЦ ИНФРА-М,2024 - 336 с.(ВО)(п)</t>
  </si>
  <si>
    <t>ОСНОВЫ ПРИРОДОПОЛЬЗОВАНИЯ</t>
  </si>
  <si>
    <t>Григорьева И. Ю.</t>
  </si>
  <si>
    <t>978-5-16-019360-1</t>
  </si>
  <si>
    <t>05.03.05, 05.03.06, 20.03.01, 20.03.02</t>
  </si>
  <si>
    <t>Рекомендовано в качестве учебного пособия для студентов высших учебных заведений обучающихся по направлению 05.03.06 "Экология и природопользование"</t>
  </si>
  <si>
    <t>304200.05.01</t>
  </si>
  <si>
    <t>Основы статистической физики: Уч.пос. / А.Г. Браун - 3 изд. - М.: НИЦ ИНФРА-М, 2023-120с.(ВО) (о)</t>
  </si>
  <si>
    <t>ОСНОВЫ СТАТИСТИЧЕСКОЙ ФИЗИКИ, ИЗД.3</t>
  </si>
  <si>
    <t>978-5-16-010234-4</t>
  </si>
  <si>
    <t>03.03.01, 03.04.01</t>
  </si>
  <si>
    <t>205300.04.01</t>
  </si>
  <si>
    <t>Основы теории вероятностей: Уч. / Г.А.Соколов - 2 изд. - М.:НИЦ ИНФРА-М,2022-340 с.(ВО: Бакалавриат)</t>
  </si>
  <si>
    <t>ОСНОВЫ ТЕОРИИ ВЕРОЯТНОСТЕЙ, ИЗД.2</t>
  </si>
  <si>
    <t>Г.А.Соколов</t>
  </si>
  <si>
    <t>978-5-16-006728-5</t>
  </si>
  <si>
    <t>38</t>
  </si>
  <si>
    <t>358700.07.01</t>
  </si>
  <si>
    <t>Основы теории массового обслуживания: Уч.пос. / В.В.Рыков-М.:НИЦ ИНФРА-М,2022-223с.(ВО:Бакалавр.)(п)</t>
  </si>
  <si>
    <t>ОСНОВЫ ТЕОРИИ МАССОВОГО ОБСЛУЖИВАНИЯ (ОСНОВНОЙ КУРС:МАРКОВСКИЕ МОДЕЛИ, МЕТОДЫ МАРКОВИЗАЦИИ)</t>
  </si>
  <si>
    <t>Рыков В.В., Козырев Д.В.</t>
  </si>
  <si>
    <t>978-5-16-010945-9</t>
  </si>
  <si>
    <t>07.02.01, 02.03.02, 03.03.02, 15.03.04, 01.03.02</t>
  </si>
  <si>
    <t>Рекомендовано в качестве учебного пособия для студентов высших учебных заведений, обучающихся по направлениям подготовки 01.03.02 «Прикладная математика и информатика», 02.03.02 «Фундаментальная информатика и информационные технологии», 02.03.01 «Математика и компьютерные науки» (квалификация (степень) «бакалавр»)</t>
  </si>
  <si>
    <t>646099.04.01</t>
  </si>
  <si>
    <t>Основы формальной картографии: Моногр. / Ю.А.Кравченко-М.:НИЦ ИНФРА-М,2023.-158 с..-(Науч.мысль)(П)</t>
  </si>
  <si>
    <t>ОСНОВЫ ФОРМАЛЬНОЙ КАРТОГРАФИИ</t>
  </si>
  <si>
    <t>978-5-16-012720-0</t>
  </si>
  <si>
    <t>05.03.03, 05.03.04, 35.03.03, 05.04.03, 21.03.02, 21.03.03, 44.03.05</t>
  </si>
  <si>
    <t>334000.07.01</t>
  </si>
  <si>
    <t>Основы цитологии, эмбриологии и гистологии: Уч. / В.В.Яглов - М.:НИЦ ИНФРА-М,2023 - 637 с.-(ВО)(П)</t>
  </si>
  <si>
    <t>ОСНОВЫ ЦИТОЛОГИИ, ЭМБРИОЛОГИИ И ГИСТОЛОГИИ</t>
  </si>
  <si>
    <t>Яглов В.В., Яглова Н.В.</t>
  </si>
  <si>
    <t>978-5-16-011854-3</t>
  </si>
  <si>
    <t>06.03.01, 06.04.01, 36.04.01, 36.05.01, 36.03.01</t>
  </si>
  <si>
    <t>Допущено Учебно-методическим объединением Российской Федерации по образованию в области ветеринарии и зоотехнии в качестве учебника для студентов высших учебных заведений, обучающихся по специальности 36.05.01 «Ветеринария» (квалификация «ветеринарный врач»)</t>
  </si>
  <si>
    <t>Научно-исследовательский институт морфологии человека</t>
  </si>
  <si>
    <t>667632.05.01</t>
  </si>
  <si>
    <t>Основы черчения и начертат.геометрии: Уч.пос. / Л.И.Супрун-М.:НИЦ ИНФРА-М, СФУ,2022-138с(ВО:Бакалавр)(О)</t>
  </si>
  <si>
    <t>ОСНОВЫ ЧЕРЧЕНИЯ И НАЧЕРТАТЕЛЬНОЙ ГЕОМЕТРИИ</t>
  </si>
  <si>
    <t>Супрун Л.И., Супрун Е.Г., Устюгова Л.А.</t>
  </si>
  <si>
    <t>978-5-16-016172-3</t>
  </si>
  <si>
    <t>44.03.01, 00.03.36</t>
  </si>
  <si>
    <t>Рекомендовано федеральным государственным бюджетным образовательным учреждением высшего образования «МГТУ им. Н.Э. Баумана» в качестве учебного пособия для студентов высших учебных заведений, обучающихся по направлению подготовки 44.03.01 «Педагогическое образование» (peг. № 2836 от 03.07.2014)</t>
  </si>
  <si>
    <t>339400.08.01</t>
  </si>
  <si>
    <t>Основы эколог. мониторинга: Уч.пос. / И.О.Тихонова - М.:Форум, НИЦ ИНФРА-М,2023 - 240 с.(ВО)(о)</t>
  </si>
  <si>
    <t>ОСНОВЫ ЭКОЛОГИЧЕСКОГО МОНИТОРИНГА</t>
  </si>
  <si>
    <t>Тихонова И.О., Кручинина Н.Е.</t>
  </si>
  <si>
    <t>978-5-00091-041-2</t>
  </si>
  <si>
    <t>05.03.06, 20.03.01, 18.03.02, 05.04.06, 18.04.02</t>
  </si>
  <si>
    <t>Допущено учебно-методическим объединением по образованию в области химическиой технологии и биотехнологии качестве учебного пособия для студентов высших учебньа заведений, обучающихся по направлениям подготовки 18.03.02 (бакалавриат) и 18.04.02 (маги</t>
  </si>
  <si>
    <t>655215.03.01</t>
  </si>
  <si>
    <t>Основы экологии и экономика природ.: Практ.: Уч.пос./Т.Морозова-М.:НИЦ ИНФРА-М, Нов.знание,2019-286с</t>
  </si>
  <si>
    <t>ОСНОВЫ ЭКОЛОГИИ И ЭКОНОМИКА ПРИРОДОПОЛЬЗОВАНИЯ. ПРАКТИКУМ</t>
  </si>
  <si>
    <t>Морозова Т.</t>
  </si>
  <si>
    <t>978-5-16-012780-4</t>
  </si>
  <si>
    <t>205600.08.01</t>
  </si>
  <si>
    <t>Основы экологии: Уч. / Н.К.Христофорова - 3 изд. - М.:Магистр, НИЦ ИНФРА-М,2023 - 640 с.(Бакалавр.)(П)</t>
  </si>
  <si>
    <t>ОСНОВЫ ЭКОЛОГИИ, ИЗД.3</t>
  </si>
  <si>
    <t>Христофорова Н. К.</t>
  </si>
  <si>
    <t>978-5-9776-0272-3</t>
  </si>
  <si>
    <t>Рекомендовано Учебно-методическим объединением по классическому университетскому образованию в качестве учебника для студентов высших учебных заведений, обучающихся по направлению 020400 «Биология</t>
  </si>
  <si>
    <t>639870.09.01</t>
  </si>
  <si>
    <t>Основы экологической экспертизы: Уч. / В.М.Питулько - М.:НИЦ ИНФРА-М,2023 - 566 с.(ВО: Бакалавр.)(П)</t>
  </si>
  <si>
    <t>ОСНОВЫ ЭКОЛОГИЧЕСКОЙ ЭКСПЕРТИЗЫ</t>
  </si>
  <si>
    <t>Питулько В.М., Иванова В.В., Донченко В.К. и др.</t>
  </si>
  <si>
    <t>978-5-16-012317-2</t>
  </si>
  <si>
    <t>06.03.01, 05.03.06, 20.03.01, 18.03.01, 13.03.02, 14.03.02, 14.03.01, 13.03.01, 18.03.02, 19.03.01, 20.03.02</t>
  </si>
  <si>
    <t>Рекомендовано в качестве учебника для студентов высших учебных заведений, обучающихся по направлениям подготовки 05.03.06 «Экология и природопользование», 06.03.01 «Биология», 13.03.01 «Теплоэнергетика и теплотехника» (квалификация (степень) «бакалавр»)</t>
  </si>
  <si>
    <t>Научно-исследовательский центр экологической безопасности Российской академии наук</t>
  </si>
  <si>
    <t>118250.08.01</t>
  </si>
  <si>
    <t>Основы эконометр. в пакете STATISTICA.: Уч. пос./ К.Э. Плохотников. М.:Вуз. уч, 2024-297 с. +СD (п)</t>
  </si>
  <si>
    <t>ОСНОВЫ ЭКОНОМЕТРИКИ В ПАКЕТЕ STATISTICA</t>
  </si>
  <si>
    <t>Плохотников К. Э.</t>
  </si>
  <si>
    <t>978-5-9558-0114-8</t>
  </si>
  <si>
    <t>38.02.04, 38.02.05, 40.02.01, 39.02.01, 31.02.03, 38.02.07, 38.02.01, 38.02.03, 38.04.01, 38.04.08, 38.04.06, 38.04.02, 38.04.05, 38.03.01, 38.03.05, 38.03.06, 38.03.02</t>
  </si>
  <si>
    <t>Рекомендовано Учебно-методическим объединением по образованию в области Статистики в качестве учебного пособия для студентов высших учебных заведений, обучающихся по специальности 061700 Статистика и другим экономическим специальностям</t>
  </si>
  <si>
    <t>330600.06.01</t>
  </si>
  <si>
    <t>Основы ядерного магнитного резонанса: Уч.пос. / М.П.Евстигнеев-М.:Вуз. уч., НИЦ ИНФРА-М,2023.-247 с.(П)</t>
  </si>
  <si>
    <t>ОСНОВЫ ЯДЕРНОГО МАГНИТНОГО РЕЗОНАНСА</t>
  </si>
  <si>
    <t>Евстигнеев М.П., Лантушенко А.О., Костюков В.В. и др.</t>
  </si>
  <si>
    <t>978-5-9558-0414-9</t>
  </si>
  <si>
    <t>14.04.02, 14.04.01</t>
  </si>
  <si>
    <t>460600.08.01</t>
  </si>
  <si>
    <t>Охрана окружающей среды..: Уч.пос. / Б.С.Ксенофонтов-М.:ИД Форум, НИЦ ИНФРА-М,2023.-200 с.(ВО)(О)</t>
  </si>
  <si>
    <t>ОХРАНА ОКРУЖАЮЩЕЙ СРЕДЫ: БИОТЕХНОЛОГИЧЕСКИЕ ОСНОВЫ</t>
  </si>
  <si>
    <t>978-5-8199-0922-5</t>
  </si>
  <si>
    <t>05.03.06, 20.03.01, 20.04.01, 44.03.05</t>
  </si>
  <si>
    <t>Допущено Учебно-методическим объединением вузов Российской Федерации по университетскому политехническому образованию в качестве учебного пособия для студентов высших учебных заведений, обучающихся по направлению подготовки «Техносферная безопасность» (20.03.01 и 20.04.01)</t>
  </si>
  <si>
    <t>684804.07.01</t>
  </si>
  <si>
    <t>Охрана окружающей среды: Уч.пос. / Л.И.Егоренков - М.:НИЦ ИНФРА-М,2023 - 248 с.-(СПО)(П)</t>
  </si>
  <si>
    <t>ОХРАНА ОКРУЖАЮЩЕЙ СРЕДЫ</t>
  </si>
  <si>
    <t>Егоренков Л.И.</t>
  </si>
  <si>
    <t>978-5-16-016838-8</t>
  </si>
  <si>
    <t>05.02.01, 20.02.03, 05.02.02, 05.02.03, 20.02.04, 20.02.01, 00.02.36, 00.02.37, 00.02.01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</si>
  <si>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05.02.00 «Науки о земле»</t>
  </si>
  <si>
    <t>Государственный Университет Просвещения</t>
  </si>
  <si>
    <t>411200.09.01</t>
  </si>
  <si>
    <t>Охрана окружающей среды: Уч.пос. / Л.И.Егоренков-2 изд.-М.:НИЦ ИНФРА-М,2024-226 с.(ВО: Бакалавриат)(п)</t>
  </si>
  <si>
    <t>ОХРАНА ОКРУЖАЮЩЕЙ СРЕДЫ, ИЗД.2</t>
  </si>
  <si>
    <t>978-5-16-017517-1</t>
  </si>
  <si>
    <t>05.03.01, 05.03.02, 05.03.04, 05.03.05, 05.03.06, 20.03.02, 44.03.05</t>
  </si>
  <si>
    <t>411200.07.01</t>
  </si>
  <si>
    <t>Охрана окружающей среды: Уч.пос. / Л.И.Егоренков-М.:Форум, НИЦ ИНФРА-М,2020.-248 с.(ВО:Бакалавр.)(П)</t>
  </si>
  <si>
    <t>Егоренков Л. И.</t>
  </si>
  <si>
    <t>978-5-00091-702-2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</si>
  <si>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05.03.06 «Экология и природопользование», 20.03.02 «Природообустройство и водопользование» (квалификация (степень) «бакалавр») (протокол № 5 от 11.03.2019)</t>
  </si>
  <si>
    <t>706825.02.01</t>
  </si>
  <si>
    <t>Оценка воздействия на окружающую среду: Уч.пос. / В.В.Стрельников-М.:НИЦ ИНФРА-М,2023.-157 с.(ВО)(п)</t>
  </si>
  <si>
    <t>ОЦЕНКА ВОЗДЕЙСТВИЯ НА ОКРУЖАЮЩУЮ СРЕДУ</t>
  </si>
  <si>
    <t>978-5-16-015390-2</t>
  </si>
  <si>
    <t>290800.06.01</t>
  </si>
  <si>
    <t>Оценка техногенных рисков: Уч.пос. / С.С.Тимофеева-М.:Форум, НИЦ ИНФРА-М,2023-208 с.(ВО: Бакалавр.)(П)</t>
  </si>
  <si>
    <t>ОЦЕНКА ТЕХНОГЕННЫХ РИСКОВ</t>
  </si>
  <si>
    <t>Тимофеева С.С., Хамидуллина Е.А.</t>
  </si>
  <si>
    <t>978-5-91134-932-5</t>
  </si>
  <si>
    <t>05.03.06, 20.03.01, 05.04.06, 20.04.01</t>
  </si>
  <si>
    <t>Рекомендовано в качестве учебного пособия для студентов  высших учебных заведений, обучающихся по направлению подготовки 20.03.01 «Техносферная безопасность» (квалификация (степень) "бакалавр")</t>
  </si>
  <si>
    <t>725256.03.01</t>
  </si>
  <si>
    <t>Очистка газовоздушных выбросов: Моногр. / А.В.Луканин - М.:НИЦ ИНФРА-М,2022 - 200 с.-(Науч.мысль)(О)</t>
  </si>
  <si>
    <t>ОЧИСТКА ГАЗОВОЗДУШНЫХ ВЫБРОСОВ</t>
  </si>
  <si>
    <t>978-5-16-015935-5</t>
  </si>
  <si>
    <t>20.04.01, 20.06.01</t>
  </si>
  <si>
    <t>633616.06.01</t>
  </si>
  <si>
    <t>Очистка сточных вод...: Уч.пос. / Б.С.Ксенофонтов - М.:ИД ФОРУМ, НИЦ ИНФРА-М,2024 - 240 с.(ВО)(О)</t>
  </si>
  <si>
    <t>ОЧИСТКА СТОЧНЫХ ВОД: КОМПЬЮТЕРНЫЕ ТЕХНОЛОГИИ В РЕШЕНИИ ЗАДАЧ ФЛОТАЦИИ</t>
  </si>
  <si>
    <t>Ксенофонтов Б.С., Титов К.В.</t>
  </si>
  <si>
    <t>978-5-8199-0910-2</t>
  </si>
  <si>
    <t>20.03.01, 20.04.01, 20.04.02</t>
  </si>
  <si>
    <t>484450.06.01</t>
  </si>
  <si>
    <t>Очистка сточных вод: кинетика флотации..: Моногр./ Б.С.Ксенофонтов-М.:ИД Форум, НИЦ ИНФРА-М,2020.-256 с.(о)</t>
  </si>
  <si>
    <t>ОЧИСТКА СТОЧНЫХ ВОД: КИНЕТИКА ФЛОТАЦИИ И ФЛОТОКОМБАЙНЫ</t>
  </si>
  <si>
    <t>978-5-8199-0618-7</t>
  </si>
  <si>
    <t>20.03.01, 20.03.02, 20.04.01, 20.04.02</t>
  </si>
  <si>
    <t>383100.06.01</t>
  </si>
  <si>
    <t>Палеобиогеография: Уч. / Б.Т.Янин - 2 изд. - М.:НИЦ ИНФРА-М,2024 - 268 с.-(ВО:Бакалавриат)(П)</t>
  </si>
  <si>
    <t>ПАЛЕОБИОГЕОГРАФИЯ, ИЗД.2</t>
  </si>
  <si>
    <t>Янин Б.Т.</t>
  </si>
  <si>
    <t>978-5-16-011157-5</t>
  </si>
  <si>
    <t>Допущено Учебно-методическим объединением по классическому университетскому образованию в качестве учебника для студентов — бакалавров и магистров, обучающихся по направлениям подготовки 05.03.01 и 05.04.01 «Геология»</t>
  </si>
  <si>
    <t>369700.08.01</t>
  </si>
  <si>
    <t>Палеонтология: Уч. / О.Б.Бондаренко - 4 изд. - М.:НИЦ ИНФРА-М,2023 - 490 с.-(ВО: Бакалавриат)(П)</t>
  </si>
  <si>
    <t>ПАЛЕОНТОЛОГИЯ, ИЗД.4</t>
  </si>
  <si>
    <t>Бондаренко О.Б., Михайлова И.А.</t>
  </si>
  <si>
    <t>978-5-16-018667-2</t>
  </si>
  <si>
    <t>Рекомендовано учебно-методическим объединением по классическому университетскому образованию в качестве учебника для студентов, обучающихся по направлению 05.03.01 «Геология»</t>
  </si>
  <si>
    <t>0416</t>
  </si>
  <si>
    <t>352000.05.01</t>
  </si>
  <si>
    <t>Параметрическая устойчив.и качество...: Моногр. / В.Н.Мирянова -М.:Вуз.уч.,НИЦ ИНФРА-М,2020-166с.(О)</t>
  </si>
  <si>
    <t>ПАРАМЕТРИЧЕСКАЯ УСТОЙЧИВОСТЬ И КАЧЕСТВО СИСТЕМ УПРАВЛЕНИЯ ТЕПЛОВЫМИ ОБЪЕКТАМИ С РАСПРЕДЕЛЕННЫМИ ПАРАМЕТРАМИ</t>
  </si>
  <si>
    <t>Мирянова В.Н.</t>
  </si>
  <si>
    <t>978-5-9558-0492-7</t>
  </si>
  <si>
    <t>13.00.00, 26.00.00, 13.04.01, 26.04.02, 26.03.02</t>
  </si>
  <si>
    <t>796736.01.01</t>
  </si>
  <si>
    <t>Парниковые газы: утилизация с использ. биотехнол. установок: Моногр. / Б.С.Ксенофонтов-М.:НИЦ ИНФРА-М,2023-225с.(п)</t>
  </si>
  <si>
    <t>ПАРНИКОВЫЕ ГАЗЫ: УТИЛИЗАЦИЯ С ИСПОЛЬЗОВАНИЕМ БИОТЕХНОЛОГИЧЕСКИХ УСТАНОВОК</t>
  </si>
  <si>
    <t>978-5-16-018177-6</t>
  </si>
  <si>
    <t>35.04.04, 06.06.01, 20.06.01, 35.06.01</t>
  </si>
  <si>
    <t>670057.03.01</t>
  </si>
  <si>
    <t>Петрология и структ. полож. интрузив. траппов..:Моногр. / С.Н.Прусская-М:НИЦ ИНФРА-М,СФУ,2023-159с(П)</t>
  </si>
  <si>
    <t>ПЕТРОЛОГИЯ И СТРУКТУРНОЕ ПОЛОЖЕНИЕ ИНТРУЗИВНЫХ ТРАППОВ ЗАПАДА СИБИРСКОЙ ПЛАТФОРМЫ</t>
  </si>
  <si>
    <t>Прусская С.Н.</t>
  </si>
  <si>
    <t>978-5-16-013361-4</t>
  </si>
  <si>
    <t>21.05.02, 21.06.02</t>
  </si>
  <si>
    <t>177100.06.01</t>
  </si>
  <si>
    <t>Петрология метасоматических пород: Уч. / Е.Н.Граменицкий - М.:НИЦ ИНФРА-М,2022-221с.(ВО:Магистр.)(п)</t>
  </si>
  <si>
    <t>ПЕТРОЛОГИЯ МЕТАСОМАТИЧЕСКИХ ПОРОД</t>
  </si>
  <si>
    <t>Граменицкий Е. Н.</t>
  </si>
  <si>
    <t>978-5-16-011630-3</t>
  </si>
  <si>
    <t>Допущено Учебно-методическим объединением по классическому университетскому образованию в качестве учебника для студентов, обучающихся по направлению 05.04.01 «Геология» (квалификация (степень) «магистр»)</t>
  </si>
  <si>
    <t>392700.04.01</t>
  </si>
  <si>
    <t>Поверхностно-ионизационная дрейф-спектрометрия: Моногр./ В.И.Капустин-М.:НИЦ ИНФРА-М,2023.-286 с.(О)</t>
  </si>
  <si>
    <t>ПОВЕРХНОСТНО-ИОНИЗАЦИОННАЯ ДРЕЙФ-СПЕКТРОМЕТРИЯ</t>
  </si>
  <si>
    <t>В.И.Капустин, А.П.Коржавый</t>
  </si>
  <si>
    <t>978-5-16-011215-2</t>
  </si>
  <si>
    <t>05.03.06, 20.03.01, 11.03.04, 12.03.01, 16.03.01, 20.03.02, 03.04.02, 05.04.06, 16.04.01, 12.04.01, 11.04.04, 20.04.01, 12.05.01, 11.05.01</t>
  </si>
  <si>
    <t>МИРЭА - Российский технологический университет</t>
  </si>
  <si>
    <t>742685.01.01</t>
  </si>
  <si>
    <t>Подсчет геологических запасов и ресурсов нефти...: Уч. / О.И.Серебряков.-М.:НИЦ ИНФРА-М,2022.-296 с.(П)</t>
  </si>
  <si>
    <t>ПОДСЧЕТ ГЕОЛОГИЧЕСКИХ ЗАПАСОВ И РЕСУРСОВ НЕФТИ, ГАЗА, КОНДЕНСАТА И ТОВАРНОЙ ПРОДУКЦИИ</t>
  </si>
  <si>
    <t>Серебряков О.И., Ушивцева Л.Ф., Серебряков А.О.</t>
  </si>
  <si>
    <t>978-5-16-016734-3</t>
  </si>
  <si>
    <t>05.04.01, 05.06.01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</si>
  <si>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05.04.01 «Геология» (квалификация (степень) «магистр») (протокол № 4 от 13.04.2022)</t>
  </si>
  <si>
    <t>778575.01.01</t>
  </si>
  <si>
    <t>Полумарковские модели профилактики ненадеж...: Моногр. / А.И.Песчанский-М.:НИЦ ИНФРА-М,2022.-267с(О)</t>
  </si>
  <si>
    <t>ПОЛУМАРКОВСКИЕ МОДЕЛИ ПРОФИЛАКТИКИ НЕНАДЕЖНОЙ ОДНОКАНАЛЬНОЙ СИСТЕМЫ ОБСЛУЖИВАНИЯ С ПОТЕРЯМИ</t>
  </si>
  <si>
    <t>978-5-16-017734-2</t>
  </si>
  <si>
    <t>01.04.04, 01.04.01, 01.04.03, 27.04.04, 01.06.01</t>
  </si>
  <si>
    <t>444150.07.01</t>
  </si>
  <si>
    <t>Пороха, ракетные твердые топлива и их свойст.: Уч.пос. / А.В.Косточко - М.:НИЦ ИНФРА-М,2022 - 400 с.(ВО)(П)</t>
  </si>
  <si>
    <t>ПОРОХА, РАКЕТНЫЕ ТВЕРДЫЕ ТОПЛИВА И ИХ СВОЙСТВА. ФИЗИКО-ХИМИЧЕСКИЕ СВОЙСТВА ПОРОХОВ И РАКЕТНЫХ ТВЕРДЫХ ТОПЛИВ</t>
  </si>
  <si>
    <t>Косточко А. В., Казбан Б. М.</t>
  </si>
  <si>
    <t>978-5-16-005297-7</t>
  </si>
  <si>
    <t>24.03.01, 24.03.05</t>
  </si>
  <si>
    <t>Казанский национальный исследовательский технический университет им. А.Н. Туполева, ф-л Зеленодольск</t>
  </si>
  <si>
    <t>171150.06.01</t>
  </si>
  <si>
    <t>Практикум по коллоидной химии: Уч. пос. / В.Г.Куличихин - М.:Вуз. учеб.:НИЦ Инфра-М, 2022 - 288с. (П)</t>
  </si>
  <si>
    <t>ПРАКТИКУМ ПО КОЛЛОИДНОЙ ХИМИИ</t>
  </si>
  <si>
    <t>Должикова В.Д., Задымова Н.М., Лопатина Л.И. и др.</t>
  </si>
  <si>
    <t>978-5-9558-0217-6</t>
  </si>
  <si>
    <t>18.03.01, 18.03.02, 19.03.04, 04.04.01, 04.05.01, 44.03.05</t>
  </si>
  <si>
    <t>Допущено УМО по классическому университетскому образованию в качестве учебного пособия для студентов вузов, обучающихся в магистратуре по направлению  ВПО 020100.62 - Химия и специальности 020101 - Химия</t>
  </si>
  <si>
    <t>633182.05.01</t>
  </si>
  <si>
    <t>Практическая эконометрика в кейсах: Уч.пос. / В.П.Невежин-М.:ИД ФОРУМ, НИЦ ИНФРА-М,2023-317с(П)</t>
  </si>
  <si>
    <t>ПРАКТИЧЕСКАЯ ЭКОНОМЕТРИКА В КЕЙСАХ</t>
  </si>
  <si>
    <t>978-5-8199-0742-9</t>
  </si>
  <si>
    <t>38.05.01, 38.03.01, 38.03.06, 38.03.07, 38.03.02, 38.03.04, 38.03.03</t>
  </si>
  <si>
    <t>Рекомендовано кафедрой «Системный анализ и моделирование экономических процессов» Финансового университета при Правительстве Российской Федерации в качестве учебного пособия по дисциплинам «Экономика» и «Экономическое моделирование»</t>
  </si>
  <si>
    <t>477400.03.01</t>
  </si>
  <si>
    <t>Предметаморфические изменения осадочных пород в стратисфере: Процессы и факторы: уч.пос. / О.В.Япаскурт, - 2-е изд., стереотип.-М.:НИЦ ИНФРА-М,2018.-2</t>
  </si>
  <si>
    <t>ПРЕДМЕТАМОРФИЧЕСКИЕ ИЗМЕНЕНИЯ ОСАДОЧНЫХ ПОРОД В СТРАТИСФЕРЕ: ПРОЦЕССЫ И ФАКТОРЫ, ИЗД.2</t>
  </si>
  <si>
    <t>978-5-16-011666-2</t>
  </si>
  <si>
    <t>Рекомендовано в Качестве учебного пособия для студентов высших учебных заведений, обучающихся по направлению подготовки 05.04.01 «Геология» (квалификация (степень) «магистр»)</t>
  </si>
  <si>
    <t>429950.13.01</t>
  </si>
  <si>
    <t>Предотвращение хим. и бактер.загрязн.полосы отв.ЖД: Моногр./Н.И.Зубрев-М:ИНФРА-М,2024-142(Науч.мыс.)(о)</t>
  </si>
  <si>
    <t>ПРЕДОТВРАЩЕНИЕ ХИМИЧЕСКОГО И БАКТЕРИАЛЬНОГО ЗАГРЯЗНЕНИЯ ПОЛОСЫ ОТВОДА ЖЕЛЕЗНЫХ ДОРОГ</t>
  </si>
  <si>
    <t>Зубрев Н.И., Крошечкина И.Ю.</t>
  </si>
  <si>
    <t>978-5-16-006645-5</t>
  </si>
  <si>
    <t>06.03.02, 20.03.01, 20.04.01</t>
  </si>
  <si>
    <t>676152.03.01</t>
  </si>
  <si>
    <t>Представление и визуал. результатов науч. исслед.: Уч. / Логунов О.С.-М.:НИЦ ИНФРА-М,2023.-156с(П)</t>
  </si>
  <si>
    <t>ПРЕДСТАВЛЕНИЕ И ВИЗУАЛИЗАЦИЯ РЕЗУЛЬТАТОВ НАУЧНЫХ ИССЛЕДОВАНИЙ</t>
  </si>
  <si>
    <t>Логунова О.С., Романов П.Ю., Егорова Л.Г. и др.</t>
  </si>
  <si>
    <t>978-5-16-014111-4</t>
  </si>
  <si>
    <t>02.04.02, 44.04.02</t>
  </si>
  <si>
    <t>Рекомендовано Учебно-методическим советом ВО в качестве учебника для аспирантов, обучающихся в высших учебных заведениях</t>
  </si>
  <si>
    <t>Магнитогорский государственный технический университет им. Г.И. Носова</t>
  </si>
  <si>
    <t>797841.02.01</t>
  </si>
  <si>
    <t>Прикладная химия: Уч.пос. / И.В.Кротова-М.:НИЦ ИНФРА-М, Сибирский федеральный универ.,2023.-148 с.(ВО)(о)</t>
  </si>
  <si>
    <t>ПРИКЛАДНАЯ ХИМИЯ</t>
  </si>
  <si>
    <t>Кротова И.В.</t>
  </si>
  <si>
    <t>978-5-16-018651-1</t>
  </si>
  <si>
    <t>38.03.07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</si>
  <si>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38.03.07 «Товароведение» (квалификация (степень) «бакалавр») (протокол № 7 от 21.09.2022)</t>
  </si>
  <si>
    <t>787430.01.01</t>
  </si>
  <si>
    <t>Прикладные нейро-нечеткие вычислит. сис..: Моногр. / М.В.Бобырь.-М.:НИЦ ИНФРА-М,2023.-263 с.(п)</t>
  </si>
  <si>
    <t>ПРИКЛАДНЫЕ НЕЙРО-НЕЧЕТКИЕ ВЫЧИСЛИТЕЛЬНЫЕ СИСТЕМЫ И УСТРОЙСТВА</t>
  </si>
  <si>
    <t>Бобырь М.В., Емельянов С.Г., Архипов А.Е. и др.</t>
  </si>
  <si>
    <t>978-5-16-017976-6</t>
  </si>
  <si>
    <t>09.04.01, 09.04.02, 09.06.01</t>
  </si>
  <si>
    <t>Юго-Западный государственный университет</t>
  </si>
  <si>
    <t>180350.11.01</t>
  </si>
  <si>
    <t>Применение молекуляр. методов исслед. в генетике: Уч.пос. / Л.Н.Нефедова-М.:НИЦ ИНФРА-М,2024.-104 с.(о)</t>
  </si>
  <si>
    <t>ПРИМЕНЕНИЕ МОЛЕКУЛЯРНЫХ МЕТОДОВ ИССЛЕДОВАНИЯ В ГЕНЕТИКЕ</t>
  </si>
  <si>
    <t>Нефедова Л.Н.</t>
  </si>
  <si>
    <t>978-5-16-019028-0</t>
  </si>
  <si>
    <t>06.03.01, 06.04.01, 44.03.05</t>
  </si>
  <si>
    <t>Рекомендовано в качестве учебного пособия для студентов высших учебных заведений, обучающихся по направлению подготовки 06.03.01 «Биология» (квалификация (степень) «бакалавр») и УГС 30.00.00 «Фундаментальная медицина» (квалификация (степень) «специалист»)</t>
  </si>
  <si>
    <t>775619.01.01</t>
  </si>
  <si>
    <t>Применение энтропии при моделир. процессов принятия...: Моногр. / А.В.Сигал.-М.:НИЦ ИНФРА-М,2022.-202 с.(О)</t>
  </si>
  <si>
    <t>ПРИМЕНЕНИЕ ЭНТРОПИИ ПРИ МОДЕЛИРОВАНИИ ПРОЦЕССОВ ПРИНЯТИЯ РЕШЕНИЙ В ЭКОНОМИКЕ</t>
  </si>
  <si>
    <t>Королев О.Л., Куссый М.Ю., Сигал А.В. и др.</t>
  </si>
  <si>
    <t>978-5-16-017653-6</t>
  </si>
  <si>
    <t>38.04.01, 38.04.02, 38.04.04, 38.05.01, 38.05.02, 38.06.01</t>
  </si>
  <si>
    <t>465200.04.01</t>
  </si>
  <si>
    <t>Принципы функц. системы управ.в чрезв. ситуациях: Уч.пос./С.Ю.Монинец-М:НИЦ ИНФРА-М,2024-104с(ВО)(о)</t>
  </si>
  <si>
    <t>ПРИНЦИПЫ ФУНКЦИОНИРОВАНИЯ СИСТЕМЫ УПРАВЛЕНИЯ В ЧРЕЗВЫЧАЙНЫХ СИТУАЦИЯХ И ЕЕ ЭЛЕМЕНТЫ</t>
  </si>
  <si>
    <t>Монинец С.Ю.</t>
  </si>
  <si>
    <t>978-5-16-019238-3</t>
  </si>
  <si>
    <t>20.03.01, 20.04.01</t>
  </si>
  <si>
    <t>Рекомендовано в качестве учебного пособия для студентов высших учебных заведений, обучающихся по направлениям подготовки бакалавриата 20.03.01 и магистратуры 20.04.01 по специальности «Техносферная безопасность»</t>
  </si>
  <si>
    <t>211300.05.01</t>
  </si>
  <si>
    <t>Природа и механизмы связ.атомов: Моногр. / А.А.Потапов - М.:ИЦ РИОР,НИЦ ИНФРА-М,2022 - 299с.(Науч.мысль)(о)</t>
  </si>
  <si>
    <t>ПРИРОДА И МЕХАНИЗМЫ СВЯЗЫВАНИЯ АТОМОВ</t>
  </si>
  <si>
    <t>Потапов А. А.</t>
  </si>
  <si>
    <t>978-5-369-01220-8</t>
  </si>
  <si>
    <t>744964.02.01</t>
  </si>
  <si>
    <t>Природная среда и жизнедеят. чел.: Моногр. / В.Е.Ходаков - М.:НИЦ ИНФРА-М,2023 - 421 с.-(Науч.мысль)(О)</t>
  </si>
  <si>
    <t>ПРИРОДНАЯ СРЕДА И ЖИЗНЕДЕЯТЕЛЬНОСТЬ ЧЕЛОВЕКА</t>
  </si>
  <si>
    <t>Ходаков В.Е.</t>
  </si>
  <si>
    <t>978-5-16-016596-7</t>
  </si>
  <si>
    <t>00.03.01, 20.06.01</t>
  </si>
  <si>
    <t>389200.07.01</t>
  </si>
  <si>
    <t>Природные и техногенные потоки углевод..: Моногр. / Ю.И.Пиковский - М.: НИЦ ИНФРА-М, 2023-207 с. (П)</t>
  </si>
  <si>
    <t>ПРИРОДНЫЕ И ТЕХНОГЕННЫЕ ПОТОКИ УГЛЕВОДОРОДОВ В ОКРУЖАЮЩЕЙ СРЕДЕ</t>
  </si>
  <si>
    <t>Пиковский Ю.И.</t>
  </si>
  <si>
    <t>978-5-16-011190-2</t>
  </si>
  <si>
    <t>21.04.01, 21.05.03, 21.05.02, 21.05.05, 21.05.04, 21.03.01</t>
  </si>
  <si>
    <t>0193</t>
  </si>
  <si>
    <t>447350.03.01</t>
  </si>
  <si>
    <t>Природные факторы оздоровления: уч.пос. / М.Г.Ясовеев-М.:НИЦ ИНФРА-М, Новое знание,2018.-259 с..-(ВО: Бакалавриат)(П 7БЦ)</t>
  </si>
  <si>
    <t>ПРИРОДНЫЕ ФАКТОРЫ ОЗДОРОВЛЕНИЯ</t>
  </si>
  <si>
    <t>Ясовеев М. Г., Досин Ю. М.</t>
  </si>
  <si>
    <t>978-5-16-009044-3</t>
  </si>
  <si>
    <t>05.03.01, 05.03.02, 05.03.06, 20.03.02, 05.04.01, 05.04.02, 05.04.06, 31.05.01</t>
  </si>
  <si>
    <t>682704.06.01</t>
  </si>
  <si>
    <t>Проблемы природопользования в Арктике..: Моногр. / Под ред. Кочурова Б.И. - М.:НИЦ ИНФРА-М,2024 - 151с(О)</t>
  </si>
  <si>
    <t>ПРОБЛЕМЫ ПРИРОДОПОЛЬЗОВАНИЯ В АРКТИКЕ: АНАЛИЗ И РЕШЕНИЕ.</t>
  </si>
  <si>
    <t>Кочемасов Ю.В., Кочемасова Е.Ю., Седова Н.Б. и др.</t>
  </si>
  <si>
    <t>978-5-16-014272-2</t>
  </si>
  <si>
    <t>Некоммерческое партнерство «Технологическая платформа «Технологии экологического развития»</t>
  </si>
  <si>
    <t>728181.01.01</t>
  </si>
  <si>
    <t>Проектирование и управ. геолого-развед. раб. на нефть и газ: Уч. / В.Ю.Керимов.-М.:НИЦ ИНФРА-М,2021.-286 с.(ВО)(П)</t>
  </si>
  <si>
    <t>ПРОЕКТИРОВАНИЕ И УПРАВЛЕНИЕ ГЕОЛОГО-РАЗВЕДОЧНЫМИ РАБОТАМИ НА НЕФТЬ И ГАЗ</t>
  </si>
  <si>
    <t>Керимов В.Ю., Косьянов В.А., Мустаев Р.Н.</t>
  </si>
  <si>
    <t>978-5-16-016416-8</t>
  </si>
  <si>
    <t>21.04.01, 21.05.02</t>
  </si>
  <si>
    <t>Рекомендовано Ученым советом ФГБОУ ВО «Российский государственный геологоразведочный университет имени Серго Орджоникидзе» (МГРИ) для обучающихся по направлениям 21.05.02 «Прикладная геология» (специалитет) и 21.04.01 «Нефтегазовое дело» (магистратура)</t>
  </si>
  <si>
    <t>346900.07.01</t>
  </si>
  <si>
    <t>Проектирование поиск.-развед.работ..: Уч.пос. /В.Ю.Керимов-М.:НИЦ ИНФРА-М,2023-200с.(ВО:Магистр.)(п)</t>
  </si>
  <si>
    <t>ПРОЕКТИРОВАНИЕ ПОИСКОВО-РАЗВЕДОЧНЫХ РАБОТ НА НЕФТЬ И ГАЗ</t>
  </si>
  <si>
    <t>Керимов В.Ю., Мустаев Р.Н., Серикова У.С.</t>
  </si>
  <si>
    <t>978-5-16-010821-6</t>
  </si>
  <si>
    <t>Рекомендовано в качестве учебного пособия для студентов высших учебных заведений по направлениям подготовки 21.05.02 «Прикладная геология» (специалитет) и 21.04.01 «Нефтегазовое дело» (магистратура)</t>
  </si>
  <si>
    <t>148050.03.01</t>
  </si>
  <si>
    <t>Проектирование экономических и технич. систем: Уч. пос. /А.М.Афонин и др. -М.:Форум,2017-128с(ПО)(О)</t>
  </si>
  <si>
    <t>ПРОЕКТИРОВАНИЕ ЭКОНОМИЧЕСКИХ И ТЕХНИЧЕСКИХ СИСТЕМ</t>
  </si>
  <si>
    <t>Афонин А. М., Афонина В. Е., Царегородцев Ю. Н., Петрова С. А.</t>
  </si>
  <si>
    <t>978-5-91134-474-0</t>
  </si>
  <si>
    <t>38.02.04, 38.02.05, 38.02.06, 38.02.07, 38.02.01, 38.02.02, 38.02.03, 44.03.01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</si>
  <si>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</si>
  <si>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Московский гуманитарный университет</t>
  </si>
  <si>
    <t>413200.05.01</t>
  </si>
  <si>
    <t>Производственная санитария и гигиена труда: Уч.пос. / Т.Г.Феоктистова - М:НИЦ Инфра-М,2017-382с.(ВО)</t>
  </si>
  <si>
    <t>ПРОИЗВОДСТВЕННАЯ САНИТАРИЯ И ГИГИЕНА ТРУДА</t>
  </si>
  <si>
    <t>Феоктистова Т.Г., Феоктистова О.Г., Наумова Т.В.</t>
  </si>
  <si>
    <t>978-5-16-004894-9</t>
  </si>
  <si>
    <t>18.02.09, 31.02.01, 32.08.03, 19.01.18, 18.02.12, 18.02.13, 18.01.33</t>
  </si>
  <si>
    <t>Рекомендовано Учебно-методическим объединением вузов по образованию в области эксплуатации авиационной и космической техники для межвузовского использования</t>
  </si>
  <si>
    <t>Московский государственный технический университет гражданской авиации</t>
  </si>
  <si>
    <t>719236.02.01</t>
  </si>
  <si>
    <t>Промышленная экология. Практикум: Уч.пос. / С.С.Тимофеева-М.:Форум, НИЦ ИНФРА-М,2021.-128 с.(СПО)(О)</t>
  </si>
  <si>
    <t>ПРОМЫШЛЕННАЯ ЭКОЛОГИЯ. ПРАКТИКУМ</t>
  </si>
  <si>
    <t>Тимофеева С.С., Тюкалова О.В.</t>
  </si>
  <si>
    <t>978-5-00091-719-0</t>
  </si>
  <si>
    <t>13.02.06, 15.02.08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</si>
  <si>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20.02.01 «Рациональное использование природохозяйственных комплексов», 20.02.03 «Природоохранное обустройство территорий» (протокол № 13 от 16.09.2019)</t>
  </si>
  <si>
    <t>464050.06.01</t>
  </si>
  <si>
    <t>Промышленная экология. Практикум: Уч.пос. / С.С.Тимофеева-М.:Форум, НИЦ ИНФРА-М,2023.-128 с.(ВО)(О)</t>
  </si>
  <si>
    <t>978-5-00091-733-6</t>
  </si>
  <si>
    <t>18.03.02</t>
  </si>
  <si>
    <t>Рекомендовано к изданию редакционно-издательским советом Иркутского государственного технического университета в качестве учебного пособия для студентов высших учебных заведений, обучающихся по направлению подготовки 20.03.01 «Техносферная безопасность»</t>
  </si>
  <si>
    <t>140100.08.01</t>
  </si>
  <si>
    <t>Промышленная экология: Уч. / Ф.Ф.Брюхань - М.:Форум, НИЦ ИНФРА-М,2023 - 208 с.(ВО)(П)</t>
  </si>
  <si>
    <t>ПРОМЫШЛЕННАЯ ЭКОЛОГИЯ</t>
  </si>
  <si>
    <t>Брюхань Ф. Ф., Графкина М. В., Сдобнякова Е. Е.</t>
  </si>
  <si>
    <t>978-5-00091-762-6</t>
  </si>
  <si>
    <t>21.02.10, 08.03.01, 18.03.02, 08.04.01</t>
  </si>
  <si>
    <t>Рекомендовано Учебно-методическим объединением вузов РФ по образованию в облати строительства в качестве учебника для студентов, обучающихся по направлению подготовки «Строительство»</t>
  </si>
  <si>
    <t>710012.05.01</t>
  </si>
  <si>
    <t>Промышленная экология: Уч. / Ф.Ф.Брюхань и др. - М.:Форум, НИЦ ИНФРА-М,2022 - 208 с.-(СПО)(П)</t>
  </si>
  <si>
    <t>Брюхань Ф.Ф., Графкина М.В., Сдобнякова Е.Е.</t>
  </si>
  <si>
    <t>978-5-00091-698-8</t>
  </si>
  <si>
    <t>08.02.01, 08.02.02, 08.02.03, 08.02.05, 08.02.10, 08.02.06, 20.02.03, 05.02.02, 20.02.04, 20.02.02, 20.02.01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</si>
  <si>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05.02.00 «Науки о Земле», 08.02.00 «Техника и технологии строительства», 20.02.00 «Техносферная безопасность и природообустройство» (протокол № 10 от 27.05.2019)</t>
  </si>
  <si>
    <t>434450.07.01</t>
  </si>
  <si>
    <t>Промышленная экология: Уч. пос./М.Г.Ясовеев - М.: НИЦ ИНФРА-М; Мн.: Нов. знание, 2023-292с.(ВО) (п)</t>
  </si>
  <si>
    <t>Ясовеев М. Г., Какарека Э. В., Шевцова Н. С., Шершнев О. В., Ясовеев М. Г.</t>
  </si>
  <si>
    <t>978-5-16-006692-9</t>
  </si>
  <si>
    <t>05.03.02, 20.03.01, 18.03.02, 20.03.02, 05.04.02, 20.04.01</t>
  </si>
  <si>
    <t>404450.10.01</t>
  </si>
  <si>
    <t>Промышленная экология: Уч.пос. / Б.С.Ксенофонтов - 2 изд. - М.:НИЦ ИНФРА-М,2023-193 с(ВО: Бакалавр.)(П)</t>
  </si>
  <si>
    <t>ПРОМЫШЛЕННАЯ ЭКОЛОГИЯ, ИЗД.2</t>
  </si>
  <si>
    <t>Ксенофонтов Б.С., Павлихин Г.П., Симакова Е.Н.</t>
  </si>
  <si>
    <t>978-5-16-015109-0</t>
  </si>
  <si>
    <t>Допущено Научно-методическим советом по безопасности жизнедеятельности в качестве учебного пособия для студентов высших учебных заведений, обучающихся по всем направлениям образовательной области техники и технологий (квалификация/степень — бакалавр)</t>
  </si>
  <si>
    <t>315700.07.01</t>
  </si>
  <si>
    <t>Промышленная экология: Уч.пос. / Л.Л.Никифоров - 2 изд. - М.:НИЦ ИНФРА-М,2022 - 322 с.(ВО: Бакалавр.)(П)</t>
  </si>
  <si>
    <t>Никифоров Л.Л.</t>
  </si>
  <si>
    <t>978-5-16-014983-7</t>
  </si>
  <si>
    <t>15.03.02, 19.03.03, 19.03.01</t>
  </si>
  <si>
    <t>Рекомендовано УМО по образованию в области технологии сырья и продуктов животного происхождения для студентов высших учебных заведений, обучающихся по направлению 19.03.03 «Продукты питания животного происхождения» для бакалавров по профилям: технология мяса и мясных продуктов; технология рыбы и рыбных продуктов; технология молока и молочных продуктов, а также по направлению 19.03.01 «Биотехнология» и направлению 15.03.02 «Технологические машины и оборудование»</t>
  </si>
  <si>
    <t>741393.02.01</t>
  </si>
  <si>
    <t>Промышленная экология: Уч.пос. / Л.Л.Никифоров - 2 изд. - М.:НИЦ ИНФРА-М,2022 - 322 с.-(СПО)(П)</t>
  </si>
  <si>
    <t>978-5-16-016376-5</t>
  </si>
  <si>
    <t>19.02.03, 19.02.07, 19.02.08, 19.02.10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</si>
  <si>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19.02.00 «Промышленная экология и биотехнологии» (протокол № 6 от 06.04.2020)</t>
  </si>
  <si>
    <t>709946.02.01</t>
  </si>
  <si>
    <t>Промышленная экология: Уч.пос. / Под ред. Ясовеева М.Г.-М.:НИЦ ИНФРА-М, ,2023.-292 с..-(СПО)(П)</t>
  </si>
  <si>
    <t>Ясовеев М.Г., Какарека Э.В., Шевцова Н.С. и др.</t>
  </si>
  <si>
    <t>978-5-16-015301-8</t>
  </si>
  <si>
    <t>05.01.01, 20.01.01, 05.02.01, 20.02.03, 05.02.02, 05.02.03, 20.02.04, 20.02.02, 20.02.01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</si>
  <si>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05.02.00 «Науки о Земле», 20.02.00 «Техносферная безопасность и природообустройство» (протокол № 5 от 11.03.2019)</t>
  </si>
  <si>
    <t>757840.02.01</t>
  </si>
  <si>
    <t>Процессы и аппараты биотехнологич. очистки сточных вод: Уч.пос. / А.В.Луканин-М.:НИЦ ИНФРА-М,2022.-242 с.(П)</t>
  </si>
  <si>
    <t>ПРОЦЕССЫ И АППАРАТЫ БИОТЕХНОЛОГИЧЕСКОЙ ОЧИСТКИ СТОЧНЫХ ВОД</t>
  </si>
  <si>
    <t>978-5-16-016926-2</t>
  </si>
  <si>
    <t>08.02.04, 20.02.03, 20.02.01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</si>
  <si>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20.02.01 «Рациональное использование природохозяйственных комплексов», 20.02.03 «Природоохранное обустройство территорий» (протокол № 11 от 09.11.2020)</t>
  </si>
  <si>
    <t>436400.09.01</t>
  </si>
  <si>
    <t>Процессы и аппараты биотехнологической очистки..:Уч.пос./А.В.Луканин-М.:НИЦ ИНФРА-М,2022-242с(ВО)(п)</t>
  </si>
  <si>
    <t>978-5-16-011332-6</t>
  </si>
  <si>
    <t>15.02.01, 20.03.01, 20.03.02, 20.04.01, 20.04.02</t>
  </si>
  <si>
    <t>Рекомендовано в качестве учебного пособия для студентов высших учебных заведений, обучающихся по направлениям подготовки 20.03.01 «Техносферная безопасность», 20.03.02 «Природообустройство и водопользование» (квалификация (степень) «бакалавр»)</t>
  </si>
  <si>
    <t>786196.01.01</t>
  </si>
  <si>
    <t>Размерные эффекты в фазовых переходах и...: Моногр. / А.В.Шуба-М.:НИЦ ИНФРА-М,2023.-384 с.(П)</t>
  </si>
  <si>
    <t>РАЗМЕРНЫЕ ЭФФЕКТЫ В ФАЗОВЫХ ПЕРЕХОДАХ И ФИЗИЧЕСКИХ СВОЙСТВАХ ФЕРРОИКОВ</t>
  </si>
  <si>
    <t>Нечаев В.Н., Шуба А.В.</t>
  </si>
  <si>
    <t>978-5-16-017937-7</t>
  </si>
  <si>
    <t>03.05.02, 03.03.01, 03.04.01, 03.04.02, 03.06.01</t>
  </si>
  <si>
    <t>395800.04.01</t>
  </si>
  <si>
    <t>Разрушение горных пород при проведении..: Уч.пос./В.В.Нескоромных-2 изд.-М.:НИЦ ИНФРА-М,2023-392с-(ВО)(п)</t>
  </si>
  <si>
    <t>РАЗРУШЕНИЕ ГОРНЫХ ПОРОД ПРИ ПРОВЕДЕНИИ ГЕОЛОГОРАЗВЕДОЧНЫХ РАБОТ, ИЗД.2</t>
  </si>
  <si>
    <t>Нескоромных В.В.</t>
  </si>
  <si>
    <t>978-5-16-011235-0</t>
  </si>
  <si>
    <t>21.02.10, 21.03.01</t>
  </si>
  <si>
    <t>Рекомендовано Федеральным государственным бюджетным образовательным учреждением высшего профессионального образования «Национальный минерально-сырьевой университет "Горный"» в качестве учебного пособия для студентов высших учебных заведений, обучаюши</t>
  </si>
  <si>
    <t>359800.04.01</t>
  </si>
  <si>
    <t>Растительные сообщества Памира, их структура,динамика.../С.Сабоиев-НИЦ ИНФРА-М,2024-319с(Науч.мысль)</t>
  </si>
  <si>
    <t>РАСТИТЕЛЬНЫЕ СООБЩЕСТВА ПАМИРА, ИХ СТРУКТУРА, ДИНАМИКА И ПРОДУКТИВНОСТЬ</t>
  </si>
  <si>
    <t>Сабоиев С.</t>
  </si>
  <si>
    <t>978-5-16-010774-5</t>
  </si>
  <si>
    <t>06.03.01, 05.03.02, 05.04.02, 06.06.01, 44.03.01, 44.03.05</t>
  </si>
  <si>
    <t>646501.04.01</t>
  </si>
  <si>
    <t>Региональное природопользование: Уч.пос. / П.В.Большаник, - 2 изд.-М.:НИЦ ИНФРА-М,2023-177с(ВО)(П)</t>
  </si>
  <si>
    <t>РЕГИОНАЛЬНОЕ ПРИРОДОПОЛЬЗОВАНИЕ, ИЗД.2</t>
  </si>
  <si>
    <t>Большаник П.В.</t>
  </si>
  <si>
    <t>978-5-16-018463-0</t>
  </si>
  <si>
    <t>20.02.01, 06.03.01, 05.03.06</t>
  </si>
  <si>
    <t>Рекомендовано в качестве учебного пособия для студентов высших учебных заведений, обучающихся по направлению подготовки 05.03.06 «Экология и природопользование» (квалификация (степень) «бакалавр»)</t>
  </si>
  <si>
    <t>775997.01.01</t>
  </si>
  <si>
    <t>Регрессионный анализ динамических систем: Моногр. / А.П.Сарычев - М.:НИЦ ИНФРА-М,2022 - 229 с.(О)</t>
  </si>
  <si>
    <t>РЕГРЕССИОННЫЙ АНАЛИЗ ДИНАМИЧЕСКИХ СИСТЕМ</t>
  </si>
  <si>
    <t>Сарычев А.П.</t>
  </si>
  <si>
    <t>978-5-16-017656-7</t>
  </si>
  <si>
    <t>02.04.03, 02.04.01, 02.04.02, 09.04.03, 01.05.01, 02.06.01</t>
  </si>
  <si>
    <t>Институт технической механики НАН Украины</t>
  </si>
  <si>
    <t>798139.01.01</t>
  </si>
  <si>
    <t>Рекреационное природопользование: Уч.пос. / Г.А.Демиденко-М.:НИЦ ИНФРА-М,2024.-280 с.(ВО (КрГАУ))(п)</t>
  </si>
  <si>
    <t>РЕКРЕАЦИОННОЕ ПРИРОДОПОЛЬЗОВАНИЕ</t>
  </si>
  <si>
    <t>Демиденко Г.А.</t>
  </si>
  <si>
    <t>978-5-16-018997-0</t>
  </si>
  <si>
    <t>06.03.01, 05.03.06, 05.04.06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</si>
  <si>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направлению подготовки 35.03.10 «Ландшафтная архитектура»</t>
  </si>
  <si>
    <t>652302.04.01</t>
  </si>
  <si>
    <t>Реновация природных систем и ликвид. объектов..: Моногр. / В.М.Питулько-М.:НИЦ ИНФРА-М,2023-497с(П)</t>
  </si>
  <si>
    <t>РЕНОВАЦИЯ ПРИРОДНЫХ СИСТЕМ И ЛИКВИДАЦИЯ ОБЪЕКТОВ ПРОШЛОГО ЭКОЛОГИЧЕСКОГО УЩЕРБА</t>
  </si>
  <si>
    <t>Питулько В.М., Кулибаба В.В.</t>
  </si>
  <si>
    <t>978-5-16-012836-8</t>
  </si>
  <si>
    <t>326800.07.01</t>
  </si>
  <si>
    <t>Решения задач по теоретической механике: Уч.пос. / М.Н.Кирсанов, - 2 изд.-М.:НИЦ ИНФРА-М,2024.-222 с.(о)</t>
  </si>
  <si>
    <t>РЕШЕНИЯ ЗАДАЧ ПО ТЕОРЕТИЧЕСКОЙ МЕХАНИКЕ, ИЗД.2</t>
  </si>
  <si>
    <t>Кирсанов М.Н.</t>
  </si>
  <si>
    <t>978-5-16-016344-4</t>
  </si>
  <si>
    <t>03.03.02, 01.03.01, 02.03.01</t>
  </si>
  <si>
    <t>326800.03.01</t>
  </si>
  <si>
    <t>Решения задач по теоретической механике: Уч.пос. / М.Н.Кирсанов-М.:НИЦ ИНФРА-М,2019.-216с(ВО)(о)</t>
  </si>
  <si>
    <t>РЕШЕНИЯ ЗАДАЧ ПО ТЕОРЕТИЧЕСКОЙ МЕХАНИКЕ</t>
  </si>
  <si>
    <t>978-5-16-010558-1</t>
  </si>
  <si>
    <t>Рекомендовано качестве учебного пособия для студентов высших учебных заведений, обучающихся по техническим направлениям подготовки (квалификация (степень) «бакалавр»)</t>
  </si>
  <si>
    <t>668726.03.01</t>
  </si>
  <si>
    <t>Роль моделей в теории познания: Уч.пос. / Н.С.Дуреева-М.:НИЦ ИНФРА-М, СФУ,2023.-192 с.(ВО)(П)</t>
  </si>
  <si>
    <t>РОЛЬ МОДЕЛЕЙ В ТЕОРИИ ПОЗНАНИЯ</t>
  </si>
  <si>
    <t>Дуреева Н.С., Галиахметов М.Р.</t>
  </si>
  <si>
    <t>978-5-16-013311-9</t>
  </si>
  <si>
    <t>47.04.01, 47.06.01</t>
  </si>
  <si>
    <t>Рекомендовано в качестве учебного пособия для студентов высших учебных заведений, обучающихся по гуманитарным направлениям подготовки (квалификация (степень) «бакалавр»)</t>
  </si>
  <si>
    <t>486350.07.01</t>
  </si>
  <si>
    <t>Руководство по микробиол.и иммунол.: Уч.пос. /Н.М.Колычев-М.:НИЦ ИНФРА-М,2024-230с.(ВО:Бакалавр.)(О)</t>
  </si>
  <si>
    <t>РУКОВОДСТВО ПО МИКРОБИОЛОГИИ И ИММУНОЛОГИИ, ИЗД.2</t>
  </si>
  <si>
    <t>Колычев Н.М., Кисленко В.Н., Белов Л.Г. и др.</t>
  </si>
  <si>
    <t>978-5-16-010624-3</t>
  </si>
  <si>
    <t>36.02.01, 06.03.01, 36.03.02, 36.03.01, 35.03.08, 38.03.07, 44.03.05, 35.03.04, 34.03.01</t>
  </si>
  <si>
    <t>Допущено Министерством сельского хозяйства в качестве учебного пособия для студентов высших учебных заведений, обучающихся по специальностям «Ветеринария», «Ветеринарно-санитарная экспертиза»</t>
  </si>
  <si>
    <t>Омский государственный аграрный университет им. П.А. Столыпина</t>
  </si>
  <si>
    <t>371700.06.01</t>
  </si>
  <si>
    <t>Русловые процессы (русловедение): Уч. / Р.С.Чалов - М.:НИЦ ИНФРА-М,2023 - 569 с.(ВОБакалавриат)(П)</t>
  </si>
  <si>
    <t>РУСЛОВЫЕ ПРОЦЕССЫ (РУСЛОВЕДЕНИЕ)</t>
  </si>
  <si>
    <t>Чалов Р.С.</t>
  </si>
  <si>
    <t>978-5-16-011036-3</t>
  </si>
  <si>
    <t>05.03.02, 05.03.04, 05.04.02, 05.04.04</t>
  </si>
  <si>
    <t>Допущено Учебно-методическим объединением по классическому университетскому образованию РФ в качестве учебника для студентов высших учебных заведений, обучающихся по направлениям 05.03.04, 05.04.04 "Гидрометеорология» и 05.03.02, 05.04.02 «География»</t>
  </si>
  <si>
    <t>390300.07.01</t>
  </si>
  <si>
    <t>Сборник задач и упр. по орг. химии: Уч. пос. / В.Г.Иванов - 3 изд. - М.:НИЦ ИНФРА-М,2024-319c(ВО)(п)</t>
  </si>
  <si>
    <t>СБОРНИК ЗАДАЧ И УПРАЖНЕНИЙ ПО ОРГАНИЧЕСКОЙ ХИМИИ, ИЗД.3</t>
  </si>
  <si>
    <t>Иванов В.Г, Гева О.Н, Гаверова Ю.Г.</t>
  </si>
  <si>
    <t>978-5-16-019154-6</t>
  </si>
  <si>
    <t>Рекомендуется для студентов высших учебных заведений, обучающихся по направлению подготовки 44.03.01 «Педагогическое образование"</t>
  </si>
  <si>
    <t>400250.09.01</t>
  </si>
  <si>
    <t>Сборник задач по курсу начертательной геометрии: Уч.пос. / Н.А.Сальков -М:НИЦ Инфра-М,2023-127с.(ВО)</t>
  </si>
  <si>
    <t>СБОРНИК ЗАДАЧ ПО КУРСУ НАЧЕРТАТЕЛЬНОЙ ГЕОМЕТРИИ</t>
  </si>
  <si>
    <t>978-5-16-005772-9</t>
  </si>
  <si>
    <t>Допущено УМО по образованию в области архитектуры в качестве учебного пособия для студентов вузов, обучающихся по направлению "Архитектура"</t>
  </si>
  <si>
    <t>063100.15.01</t>
  </si>
  <si>
    <t>Сборник задач по математике: Уч. пос./А.А.Дадаян - 3 изд. - М.:Форум, ИНФРА-М,2023 - 352 с(П)</t>
  </si>
  <si>
    <t>СБОРНИК ЗАДАЧ ПО МАТЕМАТИКЕ, ИЗД.3</t>
  </si>
  <si>
    <t>978-5-91134-803-8</t>
  </si>
  <si>
    <t>Рекомендововно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</si>
  <si>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449800.03.01</t>
  </si>
  <si>
    <t>Сборник задач по математической логике и теории алгоритмов:Уч.пос. / В.И.Игошин-М.:КУРС, НИЦ ИНФРА-М,2019.-392 с.(П 7БЦ)</t>
  </si>
  <si>
    <t>СБОРНИК ЗАДАЧ ПО МАТЕМАТИЧЕСКОЙ ЛОГИКЕ И ТЕОРИИ АЛГОРИТМОВ</t>
  </si>
  <si>
    <t>978-5-906818-08-9</t>
  </si>
  <si>
    <t>44.04.01, 44.04.04, 09.04.03, 09.03.03, 44.03.01, 44.03.04</t>
  </si>
  <si>
    <t>093250.06.01</t>
  </si>
  <si>
    <t>Сборник задач по теор. вероятн., матем. стат..: Уч.пос. / А.Г.Бычков - М.:Форум,ИНФРА-М,2022-192с(П)</t>
  </si>
  <si>
    <t>СБОРНИК ЗАДАЧ ПО ТЕОРИИ ВЕРОЯТНОСТЕЙ, МАТЕМАТИЧЕСКОЙ СТАТИСТИКЕ И МЕТОДАМ ОПТИМИЗАЦИИ</t>
  </si>
  <si>
    <t>Бычков А.Г.</t>
  </si>
  <si>
    <t>978-5-00091-566-0</t>
  </si>
  <si>
    <t>09.02.01, 09.02.03, 09.02.04, 09.02.05, 09.02.06, 09.02.07</t>
  </si>
  <si>
    <t>Рекомендовано Межрегиональным учебно-методическим советом профессионального образования в качестве учебного пособия  для реализации образовательных программ среднего профессионального образования (протокол № 10 от 27.05.2019)</t>
  </si>
  <si>
    <t>Колледж архитектуры и строительства № 7, г. Москва</t>
  </si>
  <si>
    <t>661024.02.01</t>
  </si>
  <si>
    <t>Сборник прикладных задач по математ.: Уч.пос. / В.А.Шершнева - 2изд.-М.:НИЦ ИНФРА-М,СФУ,2019-220(ВО)</t>
  </si>
  <si>
    <t>СБОРНИК ПРИКЛАДНЫХ ЗАДАЧ ПО МАТЕМАТИКЕ, ИЗД.2</t>
  </si>
  <si>
    <t>Шершнева В.А., Карнаухова О.А.</t>
  </si>
  <si>
    <t>978-5-16-012967-9</t>
  </si>
  <si>
    <t>Допущено Учебно-методическим объединением вузов по университетскому политехническому образованию в качестве учебного пособия для студентов высших учебных заведений, обучающихся по машиностроительным и приборостроительным направлениям подготовки</t>
  </si>
  <si>
    <t>764847.01.01</t>
  </si>
  <si>
    <t>Система контроля экологич. устой. экономич. субъектов: Моногр. / Л.В.Чхутиашвили-М.:НИЦ ИНФРА-М,2022.-226 с(О)</t>
  </si>
  <si>
    <t>СИСТЕМА КОНТРОЛЯ ЭКОЛОГИЧЕСКОЙ УСТОЙЧИВОСТИ ЭКОНОМИЧЕСКИХ СУБЪЕКТОВ</t>
  </si>
  <si>
    <t>Чхутиашвили Л.В.</t>
  </si>
  <si>
    <t>978-5-16-017196-8</t>
  </si>
  <si>
    <t>05.04.06, 38.04.01, 05.06.01, 38.06.01</t>
  </si>
  <si>
    <t>Московский государственный юридический университет им. О.Е. Кутафина</t>
  </si>
  <si>
    <t>633630.03.01</t>
  </si>
  <si>
    <t>Системные методы анализа и синтеза интеллектуал... / С.О.Крамаров-М.:ИЦ РИОР, НИЦ ИНФРА-М,2023.-238с(О)</t>
  </si>
  <si>
    <t>СИСТЕМНЫЕ МЕТОДЫ АНАЛИЗА И СИНТЕЗА ИНТЕЛЛЕКТУАЛЬНО-АДАПТИВНОГО УПРАВЛЕНИЯ.</t>
  </si>
  <si>
    <t>Крамаров С.О., Смирнов Ю.А., Соколов С.В., Таран  В.Н.</t>
  </si>
  <si>
    <t>978-5-369-01571-1</t>
  </si>
  <si>
    <t>12.03.04, 27.03.05, 10.04.01, 38.04.01, 38.04.02, 38.04.05, 20.04.01, 09.03.03</t>
  </si>
  <si>
    <t>Сургутский государственный университет</t>
  </si>
  <si>
    <t>351000.05.01</t>
  </si>
  <si>
    <t>Системный анализ: Уч. / А.В.Антонов - 4 изд. - М.:НИЦ ИНФРА-М,2024-366с.(ВО: Бакалавриат)(П)</t>
  </si>
  <si>
    <t>СИСТЕМНЫЙ АНАЛИЗ, ИЗД.4</t>
  </si>
  <si>
    <t>Антонов А.В.</t>
  </si>
  <si>
    <t>978-5-16-011865-9</t>
  </si>
  <si>
    <t>09.03.01, 10.04.01, 09.04.03, 09.04.01, 09.04.04, 09.03.03</t>
  </si>
  <si>
    <t>Рекомендовано в качестве учебника для студентов высших учебных заведений, обучающихся по направлению подготовки 09.03.01 "Информатика и вычислительная техника" (квалификация (степень) "бакалавр"</t>
  </si>
  <si>
    <t>Национальный исследовательский ядерный университет "МИФИ", ф-л Обнинский институт атомной энергетики</t>
  </si>
  <si>
    <t>0417</t>
  </si>
  <si>
    <t>477100.04.01</t>
  </si>
  <si>
    <t>Системный анализ: Уч. / Г.Н.Корнев-М.:ИЦ РИОР, НИЦ ИНФРА-М,2023.-308 с.(ВО: Бакалавр.)(п)</t>
  </si>
  <si>
    <t>СИСТЕМНЫЙ АНАЛИЗ</t>
  </si>
  <si>
    <t>Корнев Г.Н., Яковлев В.Б.</t>
  </si>
  <si>
    <t>978-5-369-01532-2</t>
  </si>
  <si>
    <t>12.03.04, 27.03.05, 10.04.01, 20.04.01, 09.03.03</t>
  </si>
  <si>
    <t>Рекомендовано УМО РАЕ по классическому университетскому и техническому образованию в качестве учебника для студентов высших учебных заведений, обучающихся по направлению подготовки «Экономика и управление»</t>
  </si>
  <si>
    <t>Верхневолжский государственный агробиотехнологический университет</t>
  </si>
  <si>
    <t>769799.01.01</t>
  </si>
  <si>
    <t>Системный геоэкологический анализ: Моногр. / И.П.Капитальчук - М.:НИЦ ИНФРА-М,2022 - 296 с.(О)(Научная мысль)</t>
  </si>
  <si>
    <t>СИСТЕМНЫЙ ГЕОЭКОЛОГИЧЕСКИЙ АНАЛИЗ</t>
  </si>
  <si>
    <t>Капитальчук И.П., Кочуров Б.И.</t>
  </si>
  <si>
    <t>978-5-16-017424-2</t>
  </si>
  <si>
    <t>05.03.06, 05.04.02, 05.06.01</t>
  </si>
  <si>
    <t>Приднестровский Государственный университет им. Т. Г. Шевченко</t>
  </si>
  <si>
    <t>402350.09.01</t>
  </si>
  <si>
    <t>Системы защиты среды обитания: Уч.пос. / Л.Ю.Фирсова-М.:Форум, НИЦ ИНФРА-М,2024-80с-(ВО:Бакалавр)(о)</t>
  </si>
  <si>
    <t>СИСТЕМЫ ЗАЩИТЫ СРЕДЫ ОБИТАНИЯ. СХЕМЫ, СООРУЖЕНИЯ И АППАРАТЫ ДЛЯ ОЧИСТКИ ГАЗОВЫХ ВЫБРОСОВ И СТОЧНЫХ ВОД</t>
  </si>
  <si>
    <t>Фирсова Л. Ю.</t>
  </si>
  <si>
    <t>978-5-00091-689-6</t>
  </si>
  <si>
    <t>Рекомендовано Дальневосточным региональным учебно-методическим центром в качестве учебного пособия для студентов направления подготовки 20.03.01 «Техносферная безопасность»</t>
  </si>
  <si>
    <t>450400.08.01</t>
  </si>
  <si>
    <t>Системы обесп. эколог. безоп. природопол.: Уч.пос. / В.П.Селедец - М.:Форум, НИЦ ИНФРА-М,2024-311с.(ВО)(О)</t>
  </si>
  <si>
    <t>СИСТЕМЫ ОБЕСПЕЧЕНИЯ ЭКОЛОГИЧЕСКОЙ БЕЗОПАСНОСТИ ПРИРОДОПОЛЬЗОВАНИЯ</t>
  </si>
  <si>
    <t>Селедец В.П.</t>
  </si>
  <si>
    <t>978-5-00091-765-7</t>
  </si>
  <si>
    <t>05.03.06, 20.03.01, 13.04.01, 21.03.01</t>
  </si>
  <si>
    <t>Рекомендовано Дальневосточным региональным учебно-методическим центром в качестве учебного пособия для студентов направления подготовки бакалавров 20.03.01 «Техносферная безопасность»</t>
  </si>
  <si>
    <t>Тихоокеанский институт географии Дальневосточного отделения Российской Академии Наук</t>
  </si>
  <si>
    <t>484500.04.01</t>
  </si>
  <si>
    <t>Системы органов животных: Уч.пос. / Л.Н.Ердаков - 2 изд. - М.:НИЦ ИНФРА-М,2022 - 162 с.(ВО:Бакалавр.)(О)</t>
  </si>
  <si>
    <t>СИСТЕМЫ ОРГАНОВ ЖИВОТНЫХ. СРАВНИТЕЛЬНАЯ МОРФОЛОГИЯ ОТДЕЛЬНЫХ СИСТЕМ ОРГАНОВ У РАЗЛИЧНЫХ ТИПОВ ЖИВОТНЫХ, ИЗД.2</t>
  </si>
  <si>
    <t>Ердаков Л.Н., Прусевич Н.А.</t>
  </si>
  <si>
    <t>978-5-16-011726-3</t>
  </si>
  <si>
    <t>36.03.02, 36.03.01</t>
  </si>
  <si>
    <t>Рекомендовано Учебно-методическим объединением высших учебных заведений Российской Федерации по образованию в области зоотехнии и ветеринарии в качестве учебного пособия для студентов высших учебных заведений, обучающихся по специальности 36.03.02 «Зоотехния»</t>
  </si>
  <si>
    <t>685793.02.01</t>
  </si>
  <si>
    <t>Современная теория разрушения деформируемых матер.: Моногр. / Л.Е.Басовский-М.:НИЦ ИНФРА-М,2022-141с</t>
  </si>
  <si>
    <t>СОВРЕМЕННАЯ ТЕОРИЯ РАЗРУШЕНИЯ ДЕФОРМИРУЕМЫХ МАТЕРИАЛОВ</t>
  </si>
  <si>
    <t>Басовский Л.Е.</t>
  </si>
  <si>
    <t>978-5-16-014281-4</t>
  </si>
  <si>
    <t>04.03.02, 22.03.01</t>
  </si>
  <si>
    <t>349900.0022.01</t>
  </si>
  <si>
    <t>Солнечно-земная физика, 2020, том 6, № 2</t>
  </si>
  <si>
    <t>СОЛНЕЧНО-ЗЕМНАЯ ФИЗИКА, 2020, ТОМ 6, № 2</t>
  </si>
  <si>
    <t>Институт солнечно-земной физики СО РАН</t>
  </si>
  <si>
    <t>408650.07.01</t>
  </si>
  <si>
    <t>Социальное пространство имиджа: Моногр. / М.О.Кошлякова - М.:НИЦ ИНФРА-М,2022 - 153 с.(Науч.мысль)(О)</t>
  </si>
  <si>
    <t>СОЦИАЛЬНОЕ ПРОСТРАНСТВО ИМИДЖА</t>
  </si>
  <si>
    <t>Кошлякова М.О.</t>
  </si>
  <si>
    <t>978-5-16-006408-6</t>
  </si>
  <si>
    <t>42.03.01, 42.04.01, 39.04.01, 39.03.01, 41.03.06</t>
  </si>
  <si>
    <t>Российский новый университет</t>
  </si>
  <si>
    <t>684578.04.01</t>
  </si>
  <si>
    <t>Социально-эконом. обуслов. совр. ландшафтогенеза...: Моногр. / Е.А.Романова-М.:НИЦ ИНФРА-М,2018-151с</t>
  </si>
  <si>
    <t>СОЦИАЛЬНО-ЭКОНОМИЧЕСКАЯ ОБУСЛОВЛЕННОСТЬ СОВРЕМЕННОГО ЛАНДШАФТОГЕНЕЗА ОСВОЕННЫХ ТЕРРИТОРИЙ</t>
  </si>
  <si>
    <t>Романова Е.А.</t>
  </si>
  <si>
    <t>978-5-16-014174-9</t>
  </si>
  <si>
    <t>05.03.02, 05.03.03, 05.03.04, 05.03.06, 05.04.02</t>
  </si>
  <si>
    <t>790467.01.01</t>
  </si>
  <si>
    <t>Социальные насекомые, экология...: Моногр. / Е.К.Еськов-М.:НИЦ ИНФРА-М,2023.-369 с.(п)</t>
  </si>
  <si>
    <t>СОЦИАЛЬНЫЕ НАСЕКОМЫЕ, ЭКОЛОГИЯ, ЭТОЛОГИЯ, ЭВОЛЮЦИЯ</t>
  </si>
  <si>
    <t>978-5-16-018011-3</t>
  </si>
  <si>
    <t>06.04.01, 44.04.01, 06.06.01</t>
  </si>
  <si>
    <t>318200.13.01</t>
  </si>
  <si>
    <t>Специальная инженерная геология: Уч. / В.П.Ананьев.-М.:НИЦ ИНФРА-М,2024.-263с(ВО)(o)</t>
  </si>
  <si>
    <t>СПЕЦИАЛЬНАЯ ИНЖЕНЕРНАЯ ГЕОЛОГИЯ</t>
  </si>
  <si>
    <t>Ананьев В.П., Потапов А.Д., Филькин Н.А.</t>
  </si>
  <si>
    <t>978-5-16-018843-0</t>
  </si>
  <si>
    <t>Рекомендовано Учебно-методическим объединением вузов РФ в области строительства в качестве учебника для студентов, обучающихся по направлению 08.03.01 «Строительство»</t>
  </si>
  <si>
    <t>632778.04.01</t>
  </si>
  <si>
    <t>Специальные разделы математики: Практикум / В.А.Крамарь.-М.:Вуз. уч., НИЦ ИНФРА-М,2019.-123 с.(О) (ВО)</t>
  </si>
  <si>
    <t>СПЕЦИАЛЬНЫЕ РАЗДЕЛЫ МАТЕМАТИКИ</t>
  </si>
  <si>
    <t>Крамарь В.А., Карапетьян В.А., Альчаков В.В.</t>
  </si>
  <si>
    <t>978-5-9558-0504-7</t>
  </si>
  <si>
    <t>27.03.01, 01.04.04</t>
  </si>
  <si>
    <t>462750.05.01</t>
  </si>
  <si>
    <t>Справочник по финансовой математике: Уч.пос. / П.Н.Брусов.-М.:НИЦ ИНФРА-М,2019.-239 с.(ВО)(П)</t>
  </si>
  <si>
    <t>СПРАВОЧНИК ПО ФИНАНСОВОЙ МАТЕМАТИКЕ</t>
  </si>
  <si>
    <t>Брусов П. Н., Филатова Т. В., Орехова Н. П.</t>
  </si>
  <si>
    <t>978-5-16-009577-6</t>
  </si>
  <si>
    <t>38.04.08, 38.03.01, 38.03.05, 38.03.02, 38.03.04</t>
  </si>
  <si>
    <t>Рекомендовано в качестве учебного пособия для студентов высших учебных заведений, обучающихся по направлению подготовки 38.00.00 «Экономика и управление"</t>
  </si>
  <si>
    <t>458900.02.01</t>
  </si>
  <si>
    <t>Стабильность элементов конструкций..: Уч. пос.: Ч.1.Стержни /М.Н.Кирсанов -М.: НИЦ ИНФРА-М,2017-184с</t>
  </si>
  <si>
    <t>СТАБИЛЬНОСТЬ ЭЛЕМЕНТОВ КОНСТРУКЦИЙ В УСЛОВИИ ПОЛЗУЧЕСТИ</t>
  </si>
  <si>
    <t>978-5-16-011492-7</t>
  </si>
  <si>
    <t>15.03.01, 15.03.03</t>
  </si>
  <si>
    <t>Рекомендовано в качестве учебного пособия для студентов высших учебных заведений, обучающихся по направлениям подготовки 15.04.01 «Машиностроение», 15.04.03 «Прикладная механика» (квалификация (степень) «магистр»)</t>
  </si>
  <si>
    <t>635931.03.01</t>
  </si>
  <si>
    <t>Стадиальный анализ литогенеза: Уч.пос. / О.В.Япаскурт - 2изд. - М.:НИЦ ИНФРА-М,2022 - 161с.(ВО)(П)</t>
  </si>
  <si>
    <t>СТАДИАЛЬНЫЙ АНАЛИЗ ЛИТОГЕНЕЗА, ИЗД.2</t>
  </si>
  <si>
    <t>Япаскурт О.В., Карпова Е.В.</t>
  </si>
  <si>
    <t>978-5-16-012218-2</t>
  </si>
  <si>
    <t>Рекомендовано УМС геологического факультета МГУ имени М.В. Ломоносова в качестве учебного пособия для студентов, обучающихся по направлению 05.03.01 «Геология»</t>
  </si>
  <si>
    <t>648934.03.01</t>
  </si>
  <si>
    <t>Строение и свойства простых веществ. Благородные газы:Уч.пос. / Д.Н.Путинцев-М.:НИЦ ИНФРА-М,2020.-261 с..-(ВО: Бакалавриат)(Пе</t>
  </si>
  <si>
    <t>СТРОЕНИЕ И СВОЙСТВА ПРОСТЫХ ВЕЩЕСТВ. БЛАГОРОДНЫЕ ГАЗЫ</t>
  </si>
  <si>
    <t>Путинцев Д.Н., Путинцев Н.М.</t>
  </si>
  <si>
    <t>978-5-16-012724-8</t>
  </si>
  <si>
    <t>04.03.02, 04.03.01, 18.03.01, 35.03.03, 18.03.02, 04.04.01, 04.05.01, 31.05.01, 31.05.02, 31.05.03, 33.05.01, 30.05.01, 18.05.02, 18.05.01</t>
  </si>
  <si>
    <t>Допущено Федеральным учебно-методическим объединением в системе высшего образования по укрупненной группе специальностей и направлений подготовки 04.00.00 «Химия» в качестве учебного пособия для обучающихся по основным образовательным программам высшего образования уровней бакалавриата и специалитета по направлению подготовки 04.03.01 и специальности 04.05.01</t>
  </si>
  <si>
    <t>Федеральный исследовательский центр "Информатика и управление"</t>
  </si>
  <si>
    <t>365900.05.01</t>
  </si>
  <si>
    <t>Структурная геология: Уч. / А.В.Тевелев - 2 изд. - М.:НИЦ ИНФРА-М,2023 - 342 с.(ВО: Бакалавриат)</t>
  </si>
  <si>
    <t>СТРУКТУРНАЯ ГЕОЛОГИЯ, ИЗД.2</t>
  </si>
  <si>
    <t>Тевелев А.В.</t>
  </si>
  <si>
    <t>978-5-16-011004-2</t>
  </si>
  <si>
    <t>05.00.00, 21.02.09, 21.02.10, 05.03.01</t>
  </si>
  <si>
    <t>Рекомендовано Учебно-методическим объединением по классическому университетскому образованию в качестве учебника для студентов, обучающихся по направлению 05.03.01 «Геология»</t>
  </si>
  <si>
    <t>706520.02.01</t>
  </si>
  <si>
    <t>Суперэлементы. Моделир. разработки нефтяных...: Моногр. / А.Б.Мазо-М.:НИЦ ИНФРА-М,2022.-220 с..-(Науч.мысль)(О)</t>
  </si>
  <si>
    <t>СУПЕРЭЛЕМЕНТЫ. МОДЕЛИРОВАНИЕ РАЗРАБОТКИ НЕФТЯНЫХ МЕСТОРОЖДЕНИЙ</t>
  </si>
  <si>
    <t>Мазо А.Б., Поташев К.А.</t>
  </si>
  <si>
    <t>978-5-16-017150-0</t>
  </si>
  <si>
    <t>21.04.01, 21.05.06, 21.05.05, 21.06.01</t>
  </si>
  <si>
    <t>Казанский (Приволжский) федеральный университет</t>
  </si>
  <si>
    <t>666692.05.01</t>
  </si>
  <si>
    <t>Тампонажные смеси: Уч.пос. / В.И.Зварыгин-М.:НИЦ ИНФРА-М, СФУ,2023.-216 с..-(ВО)(П)</t>
  </si>
  <si>
    <t>ТАМПОНАЖНЫЕ СМЕСИ</t>
  </si>
  <si>
    <t>Зварыгин В.И.</t>
  </si>
  <si>
    <t>978-5-16-018209-4</t>
  </si>
  <si>
    <t>21.05.03</t>
  </si>
  <si>
    <t>Рекомендовано федеральным государственным бюджетным образовательным учреждением высшего профессионального образования «Национальный минерально-сырьевой университет "Горный”» в качестве учебного пособия для студентов специальности 21.05.03  «Технология геологической разведки» специализации «Технология и техника разведки месторождений полезных ископаемых»</t>
  </si>
  <si>
    <t>658372.04.01</t>
  </si>
  <si>
    <t>Теоретико-методич. основы экономики природопользования.../ В.В.Хлебникова-М.:Вуз.уч., НИЦ ИНФРА-М,2023.-120 с.(П)</t>
  </si>
  <si>
    <t>ТЕОРЕТИКО-МЕТОДИЧЕСКИЕ ОСНОВЫ ЭКОНОМИКИ ПРИРОДОПОЛЬЗОВАНИЯ ПО ПРЕДОТВРАЩЕНИЮ ЗАГРЯЗНЕНИЯ МОРЯ НЕФТЬЮ С СУДОВ</t>
  </si>
  <si>
    <t>Хлебникова В.В.</t>
  </si>
  <si>
    <t>978-5-9558-0577-1</t>
  </si>
  <si>
    <t>05.04.06, 20.04.02, 05.06.01, 20.06.01</t>
  </si>
  <si>
    <t>158650.03.01</t>
  </si>
  <si>
    <t>Теоретическая механика. Кинематика. Практикум: Уч.пос. / В.А.Акимов - М.:ИНФРА-М, 2022 - 635 с.-(ВО)(п)</t>
  </si>
  <si>
    <t>ТЕОРЕТИЧЕСКАЯ МЕХАНИКА. КИНЕМАТИКА. ПРАКТИКУМ</t>
  </si>
  <si>
    <t>Акимов В. А., Скляр О. Н., Федута А. А., Чигарев А. В.</t>
  </si>
  <si>
    <t>978-5-16-005064-5</t>
  </si>
  <si>
    <t>02.03.03, 03.03.03, 01.03.03, 08.03.01, 13.03.03, 15.03.01, 15.03.03, 01.04.03</t>
  </si>
  <si>
    <t>Рекомендовано  Учебно-методическим центром "Профессиональный учебник" в качестве учебного пособия для студентов высших учебных заведений</t>
  </si>
  <si>
    <t>470750.07.01</t>
  </si>
  <si>
    <t>Теоретическая механика. Сб. задач: Уч.пос. / М.Н.Кирсанов-М.:НИЦ ИНФРА-М,2023.-430 с.(ВО)(п)</t>
  </si>
  <si>
    <t>ТЕОРЕТИЧЕСКАЯ МЕХАНИКА. СБОРНИК ЗАДАЧ</t>
  </si>
  <si>
    <t>Кирсанов М. Н.</t>
  </si>
  <si>
    <t>978-5-16-010026-5</t>
  </si>
  <si>
    <t>03.05.02, 02.03.03, 03.03.02, 03.03.03, 01.03.03, 05.03.04, 05.03.05, 07.03.03, 20.03.01, 08.03.01, 24.03.04, 28.03.01, 12.03.05, 14.03.02, 13.03.03, 16.03.03, 16.03.01, 16.03.02, 15.03.01, 15.03.03, 15.03.06, 15.03.05, 24.03.01, 24.03.05, 29.03.02, 35.03.02, 20.03.02, 01.04.03, 26.05.01, 26.05.02, 01.05.01, 03.05.01, 04.05.01, 21.05.03, 21.05.04, 14.05.01, 14.05.02, 16.05.01, 15.05.01, 24.05.07, 24.05.02, 24.05.05, 24.05.06, 24.05.04, 24.05.01, 24.05.03, 17.05.01, 17.05.02, 26.05.03, 26.05.07, 23.05.01, 23.05.02, 23.05.03, 23.05.04, 27.05.01, 08.05.01, 23.05.06, 01.03.01, 02.03.01, 01.03.02, 21.03.01, 28.03.02, 23.03.01, 23.03.02, 23.03.03, 26.03.01, 25.03.01, 24.03.03, 26.03.02, 27.03.04, 29.03.01, 35.03.06, 54.03.04, 28.03.03, 08.05.02</t>
  </si>
  <si>
    <t>255900.06.01</t>
  </si>
  <si>
    <t>Теоретическая механика: Уч. / В.Л.Цывильский - 4 изд. -М.:КУРС,НИЦ ИНФРА-М,2017-368с.(П)</t>
  </si>
  <si>
    <t>ТЕОРЕТИЧЕСКАЯ МЕХАНИКА, ИЗД.4</t>
  </si>
  <si>
    <t>Цывильский В.Л.</t>
  </si>
  <si>
    <t>978-5-905554-48-3</t>
  </si>
  <si>
    <t>03.03.02, 08.03.01, 24.03.04, 13.03.03, 16.03.03, 16.03.02, 15.03.01, 15.03.03, 15.03.05, 24.03.01, 24.03.05, 29.03.02, 35.03.02, 01.03.01, 02.03.01, 23.03.03, 25.03.01, 24.03.03, 27.03.04</t>
  </si>
  <si>
    <t>Рекомендовано Министерством образования и науки РФ в качестве учебника для студентов высших технических учебных заведений</t>
  </si>
  <si>
    <t>Институт искусства реставрации</t>
  </si>
  <si>
    <t>255900.14.01</t>
  </si>
  <si>
    <t>Теоретическая механика: Уч. / В.Л.Цывильский - 5 изд. - М.:КУРС,НИЦ ИНФРА-М,2024 - 368 с.(п)</t>
  </si>
  <si>
    <t>ТЕОРЕТИЧЕСКАЯ МЕХАНИКА, ИЗД.5</t>
  </si>
  <si>
    <t>978-5-906923-71-4</t>
  </si>
  <si>
    <t>0518</t>
  </si>
  <si>
    <t>650086.03.01</t>
  </si>
  <si>
    <t>Теоретическая механика: Уч. / О.В.Мкртычев - М.:Вуз.уч., НИЦ ИНФРА-М,2023-359 с.-(ВО:Бакалавр.)(П)</t>
  </si>
  <si>
    <t>ТЕОРЕТИЧЕСКАЯ МЕХАНИКА</t>
  </si>
  <si>
    <t>Мкртычев О.В.</t>
  </si>
  <si>
    <t>978-5-9558-0546-7</t>
  </si>
  <si>
    <t>08.03.01, 15.03.02</t>
  </si>
  <si>
    <t>Рекомендовано Федеральным учебно-методическим объединением в системе высшего образования по укрупненным группам специальностей и направлений подготовки 15.00.00 «Машиностроение» в качестве учебника для реализации основных профессиональных образовательных программ высшего образования по направлению подготовки бакалавров 15.03.02 «Технологические машины и оборудование»</t>
  </si>
  <si>
    <t>Белгородский государственный технологический университет им. В.Г. Шухова, Новороссийский ф-л</t>
  </si>
  <si>
    <t>464550.07.01</t>
  </si>
  <si>
    <t>Теоретическая механика: Уч.пос. / Г.П.Бурчак-М.:НИЦ ИНФРА-М,2023.-271 с..-(ВО: Бакалавриат)(П)</t>
  </si>
  <si>
    <t>Бурчак Г.П., Винник Л.В.</t>
  </si>
  <si>
    <t>978-5-16-009648-3</t>
  </si>
  <si>
    <t>Рекомендовано в качестве учебного пособия для студентов высших учебных заведений, обучающихся по техническим направлениям подготовки (квалификация (степень) «бакалавр»)</t>
  </si>
  <si>
    <t>632506.07.01</t>
  </si>
  <si>
    <t>Теоретическая механика: Уч.пос. / М.И.Белов - 2 изд. - М.:ИЦ РИОР,НИЦ ИНФРА-М,2024-335с.(ВО:Бакалавр.)(П)</t>
  </si>
  <si>
    <t>ТЕОРЕТИЧЕСКАЯ МЕХАНИКА, ИЗД.2</t>
  </si>
  <si>
    <t>Белов М.И., Пылаев Б.В.</t>
  </si>
  <si>
    <t>978-5-369-01574-2</t>
  </si>
  <si>
    <t>35.03.06</t>
  </si>
  <si>
    <t>Рекомендовано Учебно-методическим объединением вузов Российской Федерации по агроинженерному образованию в качестве учебного пособия для студентов высших учебных заведений, обучающихся по направлению «Агроинженерия»</t>
  </si>
  <si>
    <t>670459.02.01</t>
  </si>
  <si>
    <t>Теоретические основы анализа параметр.алгоритмов: Моногр. / В.В.Быкова-М.:НИЦ ИНФРА-М,СФУ,2020-181с.</t>
  </si>
  <si>
    <t>ТЕОРЕТИЧЕСКИЕ ОСНОВЫ АНАЛИЗА ПАРАМЕТРИЗИРОВАННЫХ АЛГОРИТМОВ</t>
  </si>
  <si>
    <t>Быкова В.В.</t>
  </si>
  <si>
    <t>978-5-16-013364-5</t>
  </si>
  <si>
    <t>488800.03.01</t>
  </si>
  <si>
    <t>Теория  вероятностей, матем. статистика...: Уч. пос. / И.В.Белько - М.:НИЦ ИНФРА-М, Нов.зн.,2022 - 299 с(п)</t>
  </si>
  <si>
    <t>ТЕОРИЯ  ВЕРОЯТНОСТЕЙ, МАТЕМАТИЧЕСКАЯ СТАТИСТИКА, МАТЕМАТИЧЕСКОЕ ПРОГРАММИРОВАНИЕ</t>
  </si>
  <si>
    <t>Белько И.В., Морозова И.М., Криштапович Е.А.</t>
  </si>
  <si>
    <t>978-5-16-011748-5</t>
  </si>
  <si>
    <t>02.03.02, 04.03.02, 03.03.02, 09.03.04, 11.03.02, 01.03.02, 38.03.01, 09.03.03</t>
  </si>
  <si>
    <t>Белорусский государственный аграрный технический университет</t>
  </si>
  <si>
    <t>163100.11.01</t>
  </si>
  <si>
    <t>Теория алгоритмов: Уч. пос. / В.И. Игошин. - М.: ИНФРА-М, 2024. - 318 с.(ВО) (п)</t>
  </si>
  <si>
    <t>ТЕОРИЯ АЛГОРИТМОВ</t>
  </si>
  <si>
    <t>Игошин В. И.</t>
  </si>
  <si>
    <t>978-5-16-005205-2</t>
  </si>
  <si>
    <t>09.02.03, 01.04.01, 44.04.01, 01.03.01, 02.03.01, 44.03.01, 44.03.05</t>
  </si>
  <si>
    <t>Рекомендовано УМО по образованию в области подготовки педагогических кадров в качестве учебного пособия для студентов высших учебных заведений, обучающихся по специальности 050201.65 - математика</t>
  </si>
  <si>
    <t>075080.08.01</t>
  </si>
  <si>
    <t>Теория вероятн. и матем. стат-ка: Уч. пос. / С.В. Павлов - М.: РИОР,ИНФРА-М, 2023. - 186 с. (Карм. уч. пос.) (о)</t>
  </si>
  <si>
    <t>ТЕОРИЯ ВЕРОЯТНОСТЕЙ И МАТЕМАТИЧЕСКАЯ СТАТИСТИКА</t>
  </si>
  <si>
    <t>Павлов С. В.</t>
  </si>
  <si>
    <t>978-5-369-00679-5</t>
  </si>
  <si>
    <t>09.02.03, 02.03.02, 04.03.02, 02.03.03, 03.03.02, 03.03.03, 01.03.03, 01.03.04, 09.03.04, 11.03.02, 09.04.03, 11.04.02, 01.03.01, 02.03.01, 01.03.02, 38.03.01, 09.03.03, 39.03.03, 45.03.04</t>
  </si>
  <si>
    <t>777837.01.01</t>
  </si>
  <si>
    <t>Теория вероятностей в примерах и задачах на языке R: Уч. / С.Я.Криволапов-М.:НИЦ ИНФРА-М,2023.-412 с.(п)</t>
  </si>
  <si>
    <t>ТЕОРИЯ ВЕРОЯТНОСТЕЙ В ПРИМЕРАХ И ЗАДАЧАХ НА ЯЗЫКЕ R</t>
  </si>
  <si>
    <t>Криволапов С.Я.</t>
  </si>
  <si>
    <t>978-5-16-017941-4</t>
  </si>
  <si>
    <t>38.03.10, 38.05.01, 38.05.02, 38.03.01, 38.03.05, 38.03.06, 38.03.07, 38.03.02, 38.03.04, 38.03.03</t>
  </si>
  <si>
    <t>666735.04.01</t>
  </si>
  <si>
    <t>Теория вероятностей и матем. статистика: Уч. / Е.А.Коган - М.:НИЦ ИНФРА-М,2023 - 250 с.(ВО)(П)</t>
  </si>
  <si>
    <t>Коган Е.А., Юрченко А.А.</t>
  </si>
  <si>
    <t>978-5-16-014235-7</t>
  </si>
  <si>
    <t>15.03.01, 38.03.01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</si>
  <si>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15.03.01 «Машиностроение», 38.03.01 «Экономика» (протокол № 8 от 29.04.2019)</t>
  </si>
  <si>
    <t>719853.02.01</t>
  </si>
  <si>
    <t>Теория вероятностей и матем. статистика: Уч. / Е.А.Коган-М.:НИЦ ИНФРА-М,2024.-250 с.(СПО)(П)</t>
  </si>
  <si>
    <t>978-5-16-015649-1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</si>
  <si>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гуманитарным и естественно-научным специальностям (протокол № 12 от 24.06.2019)</t>
  </si>
  <si>
    <t>151300.07.01</t>
  </si>
  <si>
    <t>Теория вероятностей и матем. статистика: Уч.пос. / И.А.Палий, - 2-е изд.-М.:НИЦ ИНФРА-М,2021.-334 с.(ВО)(П)</t>
  </si>
  <si>
    <t>ТЕОРИЯ ВЕРОЯТНОСТЕЙ И МАТЕМАТИЧЕСКАЯ СТАТИСТИКА, ИЗД.2</t>
  </si>
  <si>
    <t>Палий И.А.</t>
  </si>
  <si>
    <t>978-5-16-015892-1</t>
  </si>
  <si>
    <t>01.04.01, 01.03.01, 02.03.01, 38.03.01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</si>
  <si>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техническим и экономическим направлениям подготовки (квалификация (степень) «бакалавр») (протокол № 10 от 12.10.2020)</t>
  </si>
  <si>
    <t>Сибирский государственный автомобильно-дорожный университет</t>
  </si>
  <si>
    <t>151300.10.01</t>
  </si>
  <si>
    <t>Теория вероятностей и матем. статистика: Уч.пос. / И.А.Палий, - 3 изд.-М.:НИЦ ИНФРА-М,2023.-426 с.(П)</t>
  </si>
  <si>
    <t>ТЕОРИЯ ВЕРОЯТНОСТЕЙ И МАТЕМАТИЧЕСКАЯ СТАТИСТИКА, ИЗД.3</t>
  </si>
  <si>
    <t>978-5-16-017505-8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</si>
  <si>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техническим и экономическим направлениям подготовки (квалификация (степень) «бакалавр») (протокол № 4 от 13.04.2022)</t>
  </si>
  <si>
    <t>0322</t>
  </si>
  <si>
    <t>052100.09.01</t>
  </si>
  <si>
    <t>Теория вероятностей и матем. статистика: Уч.пос. / Под ред. Матвеева В.И., - 2 изд.-М.:НИЦ ИНФРА-М,2024.-289 с.(ВО)(п)</t>
  </si>
  <si>
    <t>Бирюкова Л.Г., Бобрик Г.И., Сагитов Р.В. и др.</t>
  </si>
  <si>
    <t>978-5-16-018751-8</t>
  </si>
  <si>
    <t>02.03.02, 03.03.02, 09.03.04, 11.03.02, 38.03.01, 09.03.03</t>
  </si>
  <si>
    <t>Рекомендовано УМО по образованию в области экономики и экономической теории в качестве учебного пособия для студентов, обучающихся по направлению 521600 "Экономика" и др. экономическим специальностям</t>
  </si>
  <si>
    <t>720909.01.01</t>
  </si>
  <si>
    <t>Теория вероятностей и матем. статистика:Уч.пос. / Матвеев В.И. - 2 изд. -М.:НИЦ ИНФРА-М,2020-289с.(П)</t>
  </si>
  <si>
    <t>978-5-16-015712-2</t>
  </si>
  <si>
    <t>09.02.01, 09.02.03, 09.02.04, 09.02.05, 10.02.01, 09.02.06, 09.02.07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</si>
  <si>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12 от 24.06.2019)</t>
  </si>
  <si>
    <t>094180.03.01</t>
  </si>
  <si>
    <t>Теория вероятностей и математическая статистика - М.:ИЦ РИОР,НИЦ ИНФРА-М.-155с.(Шпаргалка[отрывная])</t>
  </si>
  <si>
    <t>978-5-369-00283-4</t>
  </si>
  <si>
    <t>09.02.03, 02.03.02, 04.03.02, 02.03.03, 03.03.02, 03.03.03, 01.03.03, 01.03.04, 09.03.04, 11.03.02, 01.03.01, 02.03.01, 01.03.02, 38.03.01, 09.03.03, 39.03.03, 45.03.04</t>
  </si>
  <si>
    <t>767008.01.01</t>
  </si>
  <si>
    <t>Теория вероятностей с элементами матем. статистики...: Уч.пос. / А.В.Сигал-М.:НИЦ ИНФРА-М,2022.-385 с.(п)</t>
  </si>
  <si>
    <t>ТЕОРИЯ ВЕРОЯТНОСТЕЙ С ЭЛЕМЕНТАМИ МАТЕМАТИЧЕСКОЙ СТАТИСТИКИ, ТЕОРИИ СЛУЧАЙНЫХ ПРОЦЕССОВ И ЭКОНОМЕТРИКИ</t>
  </si>
  <si>
    <t>Сигал А.В.</t>
  </si>
  <si>
    <t>978-5-16-017314-6</t>
  </si>
  <si>
    <t>01.03.02, 38.03.05</t>
  </si>
  <si>
    <t>Сентябрь, 2023</t>
  </si>
  <si>
    <t>631778.07.01</t>
  </si>
  <si>
    <t>Теория вероятностей, матем.статистика...: Уч.пос.. / П.Н.Сапожников - М.:КУРС,НИЦ ИНФРА-М,2023-496с(П)</t>
  </si>
  <si>
    <t>ТЕОРИЯ ВЕРОЯТНОСТЕЙ, МАТЕМАТИЧЕСКАЯ СТАТИСТИКА В ПРИМЕРАХ, ЗАДАЧАХ И ТЕСТАХ</t>
  </si>
  <si>
    <t>Сапожников П.Н., Макаров А.А., Радионова М.В.</t>
  </si>
  <si>
    <t>Бакалавриат и магистратура</t>
  </si>
  <si>
    <t>978-5-906818-47-8</t>
  </si>
  <si>
    <t>09.02.03, 02.03.02, 04.03.02, 02.03.03, 03.03.02, 09.03.04, 11.03.02, 01.03.02, 38.03.01, 09.03.03</t>
  </si>
  <si>
    <t>Допущено НМС по математике Минобрнаут РФ в качестве учебного пособия для студентов высших учебных заведений, обучающихся по направлениям подготовки: 01.03.04,01.04.04 «Прикладная математика» (квалификация «Бакалавры», «Магистры» соответственно), 38.03.01,38.04.01 «Экономика» (квалификация «Бакалавры», «Магистры» соответственно)</t>
  </si>
  <si>
    <t>215900.06.01</t>
  </si>
  <si>
    <t>Теория вероятностей: Уч. / Р.Ш. Хуснутдинов. - М.: ИНФРА-М, 2022. - 175 с.(ВО: Бакалавриат) (о)</t>
  </si>
  <si>
    <t>ТЕОРИЯ ВЕРОЯТНОСТЕЙ</t>
  </si>
  <si>
    <t>Хуснутдинов Р. Ш.</t>
  </si>
  <si>
    <t>978-5-16-005312-7</t>
  </si>
  <si>
    <t>151300.06.01</t>
  </si>
  <si>
    <t>Теория вероятностей: Уч.пос. / И.А.Палий - М.:ИНФРА-М Изд.Дом,2019 - 236 с.-(ВО)(П)</t>
  </si>
  <si>
    <t>Палий И. А.</t>
  </si>
  <si>
    <t>978-5-16-004940-3</t>
  </si>
  <si>
    <t>166900.13.01</t>
  </si>
  <si>
    <t>Теория горения и взрыва: практ.: Уч пос. / В.А.Девисилов - 2изд -М.Форум: НИЦ ИНФРА-М,2023-384с(П)</t>
  </si>
  <si>
    <t>ТЕОРИЯ ГОРЕНИЯ И ВЗРЫВА: ПРАКТИКУМ, ИЗД.2</t>
  </si>
  <si>
    <t>Девисилов В.А., Дроздова Т.И., Тимофеева С.С.</t>
  </si>
  <si>
    <t>978-5-00091-006-1</t>
  </si>
  <si>
    <t>Рекомендовано Учебно-методическим объединением вузов по университетскому политехническому образованию в качестве учебного пособия для студентов высших учебных заведений, обучающихся по направлению «Техносферная безопасность»</t>
  </si>
  <si>
    <t>321800.08.01</t>
  </si>
  <si>
    <t>Теория горения и взрыва: Уч. / В.А.Девисилов и др. - М.:НИЦ ИНФРА-М,2023 -262 с.(ВО: Бакалавриат)(П)</t>
  </si>
  <si>
    <t>ТЕОРИЯ ГОРЕНИЯ И ВЗРЫВА</t>
  </si>
  <si>
    <t>Девисилов В.А., Дроздова Т.И., Скушникова А.И.</t>
  </si>
  <si>
    <t>978-5-16-010477-5</t>
  </si>
  <si>
    <t>21.02.10, 20.03.01, 21.05.05, 21.05.04, 20.05.01</t>
  </si>
  <si>
    <t>Рекомендовано Учебно-методическим объединением вузов по университетскому политехническому образованию в качестве учебника для студентов высших учебных заведений, обучающихся по направлению подготовки «Техносферная безопасность» (20.03.01 и 20.04.01)</t>
  </si>
  <si>
    <t>700977.03.01</t>
  </si>
  <si>
    <t>Теория и практика экспертных методов: Моногр. / Под ред. Кочурова Б.И.-М.:НИЦ ИНФРА-М,2023-281с(П)</t>
  </si>
  <si>
    <t>ТЕОРИЯ И ПРАКТИКА ЭКСПЕРТНЫХ МЕТОДОВ</t>
  </si>
  <si>
    <t>Коробов В.Б., Кочуров Б.И.</t>
  </si>
  <si>
    <t>978-5-16-015053-6</t>
  </si>
  <si>
    <t>Институт океанологии им. П.П. Ширшова Российской академии наук</t>
  </si>
  <si>
    <t>682197.03.01</t>
  </si>
  <si>
    <t>Теория игр и ее экономические приложения: Уч.пос. / А.В.Сигал-М.:НИЦ ИНФРА-М,2024 - 418 с.(ВО (КрымФУ))(п)</t>
  </si>
  <si>
    <t>ТЕОРИЯ ИГР И ЕЕ ЭКОНОМИЧЕСКИЕ ПРИЛОЖЕНИЯ</t>
  </si>
  <si>
    <t>Высшее образование (КрымФУ)</t>
  </si>
  <si>
    <t>978-5-16-019035-8</t>
  </si>
  <si>
    <t>10.04.01, 38.03.01, 38.03.02, 41.03.06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</si>
  <si>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направлению подготовки 38.03.05 «Бизнес-информатика» (квалификация (степень) «бакалавр»)</t>
  </si>
  <si>
    <t>182950.10.01</t>
  </si>
  <si>
    <t>Теория игр. Примеры и задачи: Уч.пос. / В.П.Невежин - М.:Форум, НИЦ ИНФРА-М,2024 - 128 с.(ВО (ФинУн))(О)</t>
  </si>
  <si>
    <t>ТЕОРИЯ ИГР. ПРИМЕРЫ И ЗАДАЧИ</t>
  </si>
  <si>
    <t>Невежин В.П.</t>
  </si>
  <si>
    <t>Высшее образование (ФинУн)</t>
  </si>
  <si>
    <t>978-5-00091-563-9</t>
  </si>
  <si>
    <t>38.04.09, 38.04.01, 38.04.06, 38.04.02, 38.04.04, 38.03.01, 38.03.06, 38.03.02, 38.03.04, 41.03.06</t>
  </si>
  <si>
    <t>Рекомендовано кафедрой математического моделирования экономических процессов Финансового университета при Правительстве Российской Федерации ¶в качестве учебного пособия для студентов, обучающихся по направлению подготовки бакалавров и магистров</t>
  </si>
  <si>
    <t>734294.03.01</t>
  </si>
  <si>
    <t>Теория квантовой химии: Уч.пос. / В.В.Костюков - М.:НИЦ ИНФРА-М,2023 - 236 с.(ВО: Бакалавр. (СевГУ))(П)</t>
  </si>
  <si>
    <t>ТЕОРИЯ КВАНТОВОЙ ХИМИИ</t>
  </si>
  <si>
    <t>Высшее образование: Бакалавриат (СевГУ)</t>
  </si>
  <si>
    <t>978-5-16-016258-4</t>
  </si>
  <si>
    <t>04.03.02, 04.03.01, 06.03.01, 33.05.01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</si>
  <si>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химическим и биологическим направлениям подготовки (квалификация (степень) «бакалавр») (протокол № 6 от 16.06.2021)</t>
  </si>
  <si>
    <t>647889.03.01</t>
  </si>
  <si>
    <t>Теория ресурсных сетей: Моногр. / Л.Ю.Жилякова-М.:ИЦ РИОР, НИЦ ИНФРА-М,2023.-283 с..-(Науч.мысль)(О)</t>
  </si>
  <si>
    <t>ТЕОРИЯ РЕСУРСНЫХ СЕТЕЙ</t>
  </si>
  <si>
    <t>Жилякова Л.Ю., Кузнецов О.П.</t>
  </si>
  <si>
    <t>978-5-369-01645-9</t>
  </si>
  <si>
    <t>02.03.02, 01.03.04, 27.03.05, 10.04.01, 38.04.05, 11.04.02, 09.04.04, 09.03.03</t>
  </si>
  <si>
    <t>Институт социально-экономических проблем народонаселения Российской академии наук</t>
  </si>
  <si>
    <t>214400.12.01</t>
  </si>
  <si>
    <t>Теория систем и системный анализ: Уч.пос. / А.М.Кориков - М.:НИЦ ИНФРА-М,2024 - 288 с.-(ВО)(П)</t>
  </si>
  <si>
    <t>ТЕОРИЯ СИСТЕМ И СИСТЕМНЫЙ АНАЛИЗ</t>
  </si>
  <si>
    <t>Кориков А. М., Павлов С. Н.</t>
  </si>
  <si>
    <t>978-5-16-019357-1</t>
  </si>
  <si>
    <t>02.03.02, 04.03.02, 03.03.02, 27.03.03, 01.04.02, 27.04.03, 01.03.02, 09.03.03</t>
  </si>
  <si>
    <t>Рекомендовано Учебно-методическим объединением по образованию в области прикладной информатики в качестве учебного пособия для студентов высших учебных заведений, обучающихся по специальности 09.03.03 «Прикладная  информатика» (квалификация (степень) «бакалавр») и другим экономическим специальностям</t>
  </si>
  <si>
    <t>Томский государственный университет систем управления и радиоэлектроники</t>
  </si>
  <si>
    <t>489800.05.01</t>
  </si>
  <si>
    <t>Теория управления в пример. и задачах: Уч.пос. / А.В.Пантелеев-2 изд.-М.:НИЦ ИНФРА-М,2020-584с(ВО)(П)</t>
  </si>
  <si>
    <t>ТЕОРИЯ УПРАВЛЕНИЯ В ПРИМЕРАХ И ЗАДАЧАХ, ИЗД.2</t>
  </si>
  <si>
    <t>Пантелеев А.В., Бортаковский А.С.</t>
  </si>
  <si>
    <t>978-5-16-011862-8</t>
  </si>
  <si>
    <t>01.03.04</t>
  </si>
  <si>
    <t>437700.06.01</t>
  </si>
  <si>
    <t>Теория функций действительного переменного: Уч.пос. / О.Н.Быкова.-М.:КУРС, НИЦ ИНФРА-М,2019.-196с(П)</t>
  </si>
  <si>
    <t>ТЕОРИЯ ФУНКЦИЙ ДЕЙСТВИТЕЛЬНОГО ПЕРЕМЕННОГО</t>
  </si>
  <si>
    <t>Быкова О.Н., Колягин С.Ю., Кукушкин Б.Н.</t>
  </si>
  <si>
    <t>978-5-905554-21-6</t>
  </si>
  <si>
    <t>01.04.01, 44.04.01, 01.03.01, 44.03.01</t>
  </si>
  <si>
    <t>Рекомендовано УМО по образованию в области подготовки педагогических кадров в качестве учебного пособия для студентов высших учебных заведений, обучающихся по направлению 050100 «Педагогическое образование</t>
  </si>
  <si>
    <t>481150.09.01</t>
  </si>
  <si>
    <t>Теория функций комплексного переменного: Уч. / Е.С.Половинкин - 2 изд. - М.:НИЦ ИНФРА-М,2023 - 253 с.(ВО)(П)</t>
  </si>
  <si>
    <t>ТЕОРИЯ ФУНКЦИЙ КОМПЛЕКСНОГО ПЕРЕМЕННОГО, ИЗД.2</t>
  </si>
  <si>
    <t>Половинкин Е.С.</t>
  </si>
  <si>
    <t>978-5-16-017359-7</t>
  </si>
  <si>
    <t>03.03.01, 24.03.04, 24.03.01, 24.03.05, 24.03.02, 24.03.03</t>
  </si>
  <si>
    <t>Рекомендовано Учебно-методическим советом  высших учебных заведений Российской Федерации по образованию в области авиации, ракетостроения и космоса в качестве учебника для студентов высших технических учебных заведений</t>
  </si>
  <si>
    <t>481150.06.01</t>
  </si>
  <si>
    <t>Теория функций комплексного переменного: Уч. / Е.С.Половинкин-М.:НИЦ ИНФРА - М,2022-254с(ВО:Бак.)(П)</t>
  </si>
  <si>
    <t>ТЕОРИЯ ФУНКЦИЙ КОМПЛЕКСНОГО ПЕРЕМЕННОГО</t>
  </si>
  <si>
    <t>978-5-16-013608-0</t>
  </si>
  <si>
    <t>719251.01.01</t>
  </si>
  <si>
    <t>Теория функций комплексной переменной и операц. исчисление: Уч.пос. / Е.А.Коган-М.:НИЦ ИНФРА-М,2020.-180 с.(ВО)(П)</t>
  </si>
  <si>
    <t>ТЕОРИЯ ФУНКЦИЙ КОМПЛЕКСНОЙ ПЕРЕМЕННОЙ И ОПЕРАЦИОННОЕ ИСЧИСЛЕНИЕ</t>
  </si>
  <si>
    <t>Коган Е.А., Жукова Г.С.</t>
  </si>
  <si>
    <t>978-5-16-015816-7</t>
  </si>
  <si>
    <t>04.03.02, 01.03.04, 09.03.01, 15.03.01, 15.03.03, 15.03.04, 10.05.03, 01.03.01, 02.03.01, 01.03.02, 27.03.04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</si>
  <si>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01.03.02 «Прикладная математика и информатика», 15.03.03 «Прикладная механика», 15.03.01 «Машиностроение» (квалификация (степень) «бакалавр») (протокол № 18 от 25.11.2019)</t>
  </si>
  <si>
    <t>811541.01.01</t>
  </si>
  <si>
    <t>Теория электрич. цепей и электромагнит. поля: Сб. задач: Уч.пос. / Л.П.Гаврилов-М.:НИЦ ИНФРА-М,2024.-181 с.(СПО)(п)</t>
  </si>
  <si>
    <t>ТЕОРИЯ ЭЛЕКТРИЧЕСКИХ ЦЕПЕЙ И ЭЛЕКТРОМАГНИТНОГО ПОЛЯ: СБОРНИК ЗАДАЧ</t>
  </si>
  <si>
    <t>Гаврилов Л.П.</t>
  </si>
  <si>
    <t>978-5-16-018972-7</t>
  </si>
  <si>
    <t>13.02.03, 13.02.07, 13.02.10, 11.02.13, 11.02.14, 11.02.05, 11.02.02, 11.02.03, 11.02.04, 11.02.06, 11.02.07, 11.02.08, 11.02.09, 11.02.10, 11.02.11, 11.02.15, 11.02.16</t>
  </si>
  <si>
    <t>776822.01.01</t>
  </si>
  <si>
    <t>Теория электрич. цепей и электромагнитного поля: Сб. задач: Уч.пос. / Л.П.Гаврилов-М.:НИЦ ИНФРА-М,2023.-181 с.(ВО)(п)</t>
  </si>
  <si>
    <t>978-5-16-017774-8</t>
  </si>
  <si>
    <t>11.03.02, 13.03.02, 13.04.02, 10.05.02, 11.05.02</t>
  </si>
  <si>
    <t>472550.06.01</t>
  </si>
  <si>
    <t>Теплотехника: Уч. / Ю.П.Семенов, - 2 изд.-М.:НИЦ ИНФРА-М,2024.-400 с.(ВО: Бакалавриат)(П)</t>
  </si>
  <si>
    <t>ТЕПЛОТЕХНИКА, ИЗД.2</t>
  </si>
  <si>
    <t>Семенов Ю.П., Левин А.Б.</t>
  </si>
  <si>
    <t>978-5-16-010104-0</t>
  </si>
  <si>
    <t>35.03.02</t>
  </si>
  <si>
    <t>Рекомендовано УМО по образованию в области лесного дела в качестве учебника для студентов высших учебных заведений, обучающихся по направлению 35.03-02 (250400.62) "Технология и оборудование лесозаготовительных и деревоперерабатывающих производств"</t>
  </si>
  <si>
    <t>429850.07.01</t>
  </si>
  <si>
    <t>Терминологический словарь-справочник по палеонтологии / Б.Т.Янин - 2изд.-М.:НИЦ ИНФРА-М,2023-172с(п)</t>
  </si>
  <si>
    <t>ТЕРМИНОЛОГИЧЕСКИЙ СЛОВАРЬ-СПРАВОЧНИК ПО ПАЛЕОНТОЛОГИИ (ПАЛЕОИХНОЛОГИЯ, ПАЛЕОЭКОЛОГИЯ, ТАФОНОМИЯ), ИЗД.2</t>
  </si>
  <si>
    <t>978-5-16-006644-8</t>
  </si>
  <si>
    <t>06.03.01, 05.03.01, 05.03.06, 06.04.01, 05.04.01, 05.04.06</t>
  </si>
  <si>
    <t>334700.03.01</t>
  </si>
  <si>
    <t>Термодинамика комплексообраз.лигандов...: Моногр. / Е.Г.Березняк-М.:Вуз.уч.,НИЦ ИНФРА-М,2019-166с(о)</t>
  </si>
  <si>
    <t>ТЕРМОДИНАМИКА КОМПЛЕКСООБРАЗОВАНИЯ ЛИГАНДОВ С НУКЛЕИНОВЫМИ КИСЛОТАМИ В ВОДНОМ РАСТВОРЕ</t>
  </si>
  <si>
    <t>Березняк Е.Г., Духопельников Е.В., Гладковская Н.А. и др.</t>
  </si>
  <si>
    <t>978-5-9558-0417-0</t>
  </si>
  <si>
    <t>03.03.03, 14.03.01, 03.04.03, 14.04.01</t>
  </si>
  <si>
    <t>Харьковский национальный университет радиоэлектроники</t>
  </si>
  <si>
    <t>659213.02.01</t>
  </si>
  <si>
    <t>Техника и технология совмещенных процессов...: Уч.пос. / В.И.Назаров.-М.:НИЦ ИНФРА-М,2022.-456с(ВО)(П)</t>
  </si>
  <si>
    <t>ТЕХНИКА И ТЕХНОЛОГИЯ СОВМЕЩЕННЫХ ПРОЦЕССОВ ПЕРЕРАБОТКИ ТВЕРДЫХ ОТХОДОВ</t>
  </si>
  <si>
    <t>Назаров В.И., Санду Р.А., Макаренков Д.А. и др.</t>
  </si>
  <si>
    <t>978-5-16-014666-9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</si>
  <si>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 по направлениям подготовки 20.03.01 «Техносферная безопасность», 18.03.01 «Химическая технология», 18.03.02 «Энерго- и ресурсосберегающие процессы в химической технологии, нефтехимии и биотехнологии» (квалификация (степень) «бакалавр») (протокол № 3 от 17.02.2020)</t>
  </si>
  <si>
    <t>242500.09.01</t>
  </si>
  <si>
    <t>Техногенный риск и безопасность: Уч.пос. / А.Г.Ветошкин - 2изд. - М.:НИЦ ИНФРА-М,2024 - 198с(ВО)(п)</t>
  </si>
  <si>
    <t>ТЕХНОГЕННЫЙ РИСК И БЕЗОПАСНОСТЬ, ИЗД.2</t>
  </si>
  <si>
    <t>Ветошкин А.Г., Таранцева К.Р.</t>
  </si>
  <si>
    <t>978-5-16-019064-8</t>
  </si>
  <si>
    <t>Допущено Учебно-методическим объединением вузов по университетскому политехническому образованию в качестве учебного пособия для студентов, обучающихся по направлению подготовки 20.03.01 «Техносферная безопасность»</t>
  </si>
  <si>
    <t>242300.06.01</t>
  </si>
  <si>
    <t>Технология защиты окр.среды (теор.основы): Уч.пос./А.Г.Ветошкин.- М.:НИЦ ИНФРА-М,2023 - 362 с-(ВО:Бак.)</t>
  </si>
  <si>
    <t>ТЕХНОЛОГИЯ ЗАЩИТЫ ОКРУЖАЮЩЕЙ СРЕДЫ (ТЕОРЕТИЧЕСКИЕ ОСНОВЫ)</t>
  </si>
  <si>
    <t>Ветошкин А.Г., Таранцева К.Р., Ветошкин А.Г.</t>
  </si>
  <si>
    <t>978-5-16-009259-1</t>
  </si>
  <si>
    <t>05.03.06, 20.03.01, 05.04.06, 20.04.01, 44.03.05</t>
  </si>
  <si>
    <t>689961.01.01</t>
  </si>
  <si>
    <t>Технология и техника бурения: Уч.пос.: В 2 ч. (комп.) / В.С.Войтенко -М.:НИЦ ИНФРА-М,2019-850с(П)</t>
  </si>
  <si>
    <t>ТЕХНОЛОГИЯ И ТЕХНИКА БУРЕНИЯ</t>
  </si>
  <si>
    <t>Войтенко В.С., Смычкин А.Д., Тухто А.А. и др.</t>
  </si>
  <si>
    <t>Комплект</t>
  </si>
  <si>
    <t>435350.08.01</t>
  </si>
  <si>
    <t>Технология и техника бурения: Уч.пос.: В 2 ч.Ч.1 / В.С.Войтенко-ИНФРА-М;Нов.зн.,2022-237с-(ВО:Бак.)(П)</t>
  </si>
  <si>
    <t>978-5-16-006699-8</t>
  </si>
  <si>
    <t>21.02.10, 05.03.01, 05.04.01, 21.04.01, 21.05.03, 21.05.02, 21.05.04, 21.03.01</t>
  </si>
  <si>
    <t>213800.12.01</t>
  </si>
  <si>
    <t>Технология и техника бурения: Уч.пос.: В 2 ч.Ч.2 / В.С.Войтенко - М.:НИЦ ИНФРА-М, Нов.знание,2024-613с(П)</t>
  </si>
  <si>
    <t>ТЕХНОЛОГИЯ И ТЕХНИКА БУРЕНИЯ. В 2-Х ЧАСТЯХ, Т.2</t>
  </si>
  <si>
    <t>978-5-16-019249-9</t>
  </si>
  <si>
    <t>05.03.01, 05.04.01, 21.05.02, 21.05.04</t>
  </si>
  <si>
    <t>Допущено Министерством образования Республики Беларусь в качестве учебного пособия для студентов учреждений высшего образования по специальностям «Разработка месторождений полезных ископаемых», «Геология и разведка месторождений полезных ископаемых», «Горные машины и оборудование»</t>
  </si>
  <si>
    <t>156200.04.01</t>
  </si>
  <si>
    <t>Технология отходов: Уч. / Л.Я.Шубов-М.:Альфа-М,НИЦ ИНФРА-М,2016-352с.(Технологич.сервис:Магистр.)(п)</t>
  </si>
  <si>
    <t>ТЕХНОЛОГИЯ ОТХОДОВ</t>
  </si>
  <si>
    <t>ШубовЛ.Я., СтавровскийМ.Е., ОлейникА.В. и др.</t>
  </si>
  <si>
    <t>Технологический сервис: Магистратура</t>
  </si>
  <si>
    <t>978-5-98281-257-5</t>
  </si>
  <si>
    <t>Рекомендовано Дальневосточным региональным учебно-методическим центром (ДВ РУМЦ) в качестве учебника для студентов, обучающихся по направлению подготовки 100100 "Сервис"</t>
  </si>
  <si>
    <t>Российский государственный университет туризма и сервиса, ф-л Институт туризма и гостеприимства</t>
  </si>
  <si>
    <t>671497.02.01</t>
  </si>
  <si>
    <t>Технология подготовки грунтов к разраб.в зимний..: Моногр./С.И.Васильев-М.:НИЦ ИНФРА-М,СФУ,2019-152с</t>
  </si>
  <si>
    <t>ТЕХНОЛОГИЯ ПОДГОТОВКИ ГРУНТОВ К РАЗРАБОТКЕ В ЗИМНИЙ ПЕРИОД ПРИ ОСВОЕНИИ ПОЛЕЗНЫХ ИСКОПАЕМЫХ ВОСТОЧНО-СИБИРСКОГО РЕГИОНА</t>
  </si>
  <si>
    <t>Васильев С.И., Анферов В.Н., Мелкозеров В.М.</t>
  </si>
  <si>
    <t>978-5-16-013436-9</t>
  </si>
  <si>
    <t>349600.07.01</t>
  </si>
  <si>
    <t>Техносферная безопасность: Уч.пос. / В.П.Дмитренко и др. - М.:НИЦ ИНФРА-М,2023 - 134 с.-(ВО)(О)</t>
  </si>
  <si>
    <t>ТЕХНОСФЕРНАЯ БЕЗОПАСНОСТЬ: ВВЕДЕНИЕ В НАПРАВЛЕНИЕ ОБРАЗОВАНИЯ</t>
  </si>
  <si>
    <t>Дмитренко В.П., Е.М.Мессинева, А.Г.Фетисов</t>
  </si>
  <si>
    <t>978-5-16-010849-0</t>
  </si>
  <si>
    <t>Допущено Учебно-методическим объединением вузов Российской Федерации по университетскому  политехническому образованию в качестве учебного пособия для студентов высших учебных заведений, обучающихся по направлению подготовки 20.03.01 «Техносферная безопасность» (квалификация (степень) — «бакалавр»)</t>
  </si>
  <si>
    <t>283800.08.01</t>
  </si>
  <si>
    <t>Техносферная безопасность:физико-хим. процессы в...: Уч. пос. /Н.В.Гусакова-М.:НИЦ ИНФРА-М,2023-185с</t>
  </si>
  <si>
    <t>ТЕХНОСФЕРНАЯ БЕЗОПАСНОСТЬ: ФИЗИКО-ХИМИЧЕСКИЕ ПРОЦЕССЫ В ТЕХНОСФЕРЕ</t>
  </si>
  <si>
    <t>Гусакова Н.В.</t>
  </si>
  <si>
    <t>978-5-16-018747-1</t>
  </si>
  <si>
    <t>Рекомендовано федеральным государственным бюджетным образовательным учреждением высшего профессионального образования "Московский государственный технический университет имени Н.Э. Баумана» в качестве учебного пособия для студентов высших учебных зав</t>
  </si>
  <si>
    <t>783407.02.01</t>
  </si>
  <si>
    <t>Топографическая подготовка: Уч.пос. / А.А.Ильященко-М.:НИЦ ИНФРА-М,2024.-247 с.(ВО: Спец.)(п)</t>
  </si>
  <si>
    <t>ТОПОГРАФИЧЕСКАЯ ПОДГОТОВКА</t>
  </si>
  <si>
    <t>Ильященко А.А., Ковальчук А.Н.</t>
  </si>
  <si>
    <t>Высшее образование: Специалитет (КрГАУ)</t>
  </si>
  <si>
    <t>978-5-16-018066-3</t>
  </si>
  <si>
    <t>56.05.01, 57.04.01, 56.05.02, 56.05.03, 56.05.04, 56.05.05, 57.05.01, 57.05.02, 57.05.03, 40.02.02, 40.05.02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</si>
  <si>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специальности 38.05.01 «Экономическая безопасность» (квалификация «экономист») (протокол № 8 от 19.10.2022)</t>
  </si>
  <si>
    <t>370800.10.01</t>
  </si>
  <si>
    <t>Топография: Уч. / Г.Д.Курошев - 3 изд. - М.:НИЦ ИНФРА-М,2024 - 182 с.-(ВО)(О)</t>
  </si>
  <si>
    <t>ТОПОГРАФИЯ, ИЗД.3</t>
  </si>
  <si>
    <t>Курошев Г.Д.</t>
  </si>
  <si>
    <t>Военное образование</t>
  </si>
  <si>
    <t>978-5-16-018961-1</t>
  </si>
  <si>
    <t>05.03.03, 05.03.04</t>
  </si>
  <si>
    <t>Рекомендовано в качестве учебника для студентов высших учебных заведений, обучающихся по направлениям подготовки 05.03.02 «География», 05.03.03 «Картография и геоинформатика» и 05.03.04 «Гидрометеорология» (квалификация (степень) «бакалавр»)</t>
  </si>
  <si>
    <t>389300.03.98</t>
  </si>
  <si>
    <t>Углеродистые вещества в природных процессах...:Моногр. / В.Н.Флоровская-М.:НИЦ ИНФРА-М,2017-225с.(П)</t>
  </si>
  <si>
    <t>УГЛЕРОДИСТЫЕ ВЕЩЕСТВА В ПРИРОДНЫХ ПРОЦЕССАХ: ИЗБРАННЫЕ ТРУДЫ</t>
  </si>
  <si>
    <t>Флоровская В.Н.</t>
  </si>
  <si>
    <t>978-5-16-011189-6</t>
  </si>
  <si>
    <t>0103</t>
  </si>
  <si>
    <t>210900.09.01</t>
  </si>
  <si>
    <t>Управление отходами: Уч.пос. / Б.Б.Бобович - 3 изд. - М.:Форум, НИЦ ИНФРА-М,2023 - 107 с.(О)</t>
  </si>
  <si>
    <t>УПРАВЛЕНИЕ ОТХОДАМИ, ИЗД.3</t>
  </si>
  <si>
    <t>978-5-00091-568-4</t>
  </si>
  <si>
    <t>21.02.10, 20.02.01, 05.03.06, 20.03.01</t>
  </si>
  <si>
    <t>437900.05.01</t>
  </si>
  <si>
    <t>Уравнения математической физики: Уч. / В.В.Лесин - М.:КУРС,НИЦ ИНФРА-М,2023-240с.(ВО:Бакалавриат)(П)</t>
  </si>
  <si>
    <t>УРАВНЕНИЯ МАТЕМАТИЧЕСКОЙ ФИЗИКИ</t>
  </si>
  <si>
    <t>Лесин В.В.</t>
  </si>
  <si>
    <t>978-5-906818-61-4</t>
  </si>
  <si>
    <t>04.03.02, 02.03.03, 01.03.04, 16.03.03, 15.03.03, 21.04.01</t>
  </si>
  <si>
    <t>766270.01.01</t>
  </si>
  <si>
    <t>Урбогеосистемы речных долин...: Моногр. / Под ред. Кочурова Б.И. - М.:НИЦ ИНФРА-М,2022 - 326 с(О)</t>
  </si>
  <si>
    <t>УРБОГЕОСИСТЕМЫ РЕЧНЫХ ДОЛИН. ПРИРОДНО-ЛАНДШАФТНЫЕ ОСОБЕННОСТИ, ТИПОЛОГИЯ, ЗЕМЛЕУСТРОЙСТВО</t>
  </si>
  <si>
    <t>Фирсова Н.В., Кочуров Б.И.</t>
  </si>
  <si>
    <t>978-5-16-017249-1</t>
  </si>
  <si>
    <t>05.04.02, 05.04.06, 05.06.01</t>
  </si>
  <si>
    <t>Воронежский государственный технический университет</t>
  </si>
  <si>
    <t>782287.01.01</t>
  </si>
  <si>
    <t>Урбоэкология и мониторинг: Уч.пос. / И.С.Коротченко-М.:НИЦ ИНФРА-М,2023.-159 с.(ВО: Бакалавриат (КрГАУ))(п)</t>
  </si>
  <si>
    <t>УРБОЭКОЛОГИЯ И МОНИТОРИНГ</t>
  </si>
  <si>
    <t>Коротченко И.С.</t>
  </si>
  <si>
    <t>Высшее образование: Бакалавриат (КрГАУ)</t>
  </si>
  <si>
    <t>978-5-16-018069-4</t>
  </si>
  <si>
    <t>35.03.01, 35.03.10, 05.04.06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</si>
  <si>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35.03.10 «Ландшафтная архитектура» (квалификация (степень) «бакалавр») (протокол № 8 от 19.10.2022)</t>
  </si>
  <si>
    <t>640772.03.01</t>
  </si>
  <si>
    <t>Устойчивость ландшафтов Азербайджана вдоль эксп..: Моногр. / Н.М.Исмаилов-М:НИЦ ИНФРА-М,2023-157с(П)</t>
  </si>
  <si>
    <t>УСТОЙЧИВОСТЬ ЛАНДШАФТОВ АЗЕРБАЙДЖАНА ВДОЛЬ ЭКСПОРТНЫХ ТРУБОПРОВОДОВ (ЗМЭТ И СМЭТ) К ЗАГРЯЗНЕНИЮ СЫРОЙ НЕФТЬЮ</t>
  </si>
  <si>
    <t>Исмаилов Н.М., Наджафова С.И.</t>
  </si>
  <si>
    <t>978-5-16-012432-2</t>
  </si>
  <si>
    <t>05.03.06, 21.03.01, 44.03.05</t>
  </si>
  <si>
    <t>749636.02.01</t>
  </si>
  <si>
    <t>Учебный исслед. проект по физике на базе открытых данных: Уч.пос. / И.В.Кузнецова-М.:НИЦ ИНФРА-М,2022.-134 с.(ВО)(П)</t>
  </si>
  <si>
    <t>УЧЕБНЫЙ ИССЛЕДОВАТЕЛЬСКИЙ ПРОЕКТ ПО ФИЗИКЕ НА БАЗЕ ОТКРЫТЫХ ДАННЫХ</t>
  </si>
  <si>
    <t>Кузнецова И.В., Прохоров М.Е.</t>
  </si>
  <si>
    <t>978-5-16-016823-4</t>
  </si>
  <si>
    <t>00.02.23, 00.03.38, 00.02.10, 00.02.20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</si>
  <si>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естественно-научным направлениям подготовки (квалификация (степень) «бакалавр») (протокол № 7 от 22.09.2021)</t>
  </si>
  <si>
    <t>771913.01.01</t>
  </si>
  <si>
    <t>Учебный исслед. проект по физике на базе открытых данных: Уч.пос. / И.В.Кузнецова-М.:НИЦ ИНФРА-М,2022.-134 с.(П)</t>
  </si>
  <si>
    <t>978-5-16-017433-4</t>
  </si>
  <si>
    <t>00.02.23, 00.02.10, 00.02.20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</si>
  <si>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(протокол № 7 от 22.09.2021)</t>
  </si>
  <si>
    <t>682308.07.01</t>
  </si>
  <si>
    <t>Учение об атмосфере. Основные метеоролог. элементы: Уч.пос. / Л.И.Алексеева-М.:НИЦ ИНФРА-М,2023-280с.(ВО)(п)</t>
  </si>
  <si>
    <t>УЧЕНИЕ ОБ АТМОСФЕРЕ. ОСНОВНЫЕ МЕТЕОРОЛОГИЧЕСКИЕ ЭЛЕМЕНТЫ: ЭКОЛОГО-КЛИМАТИЧЕСКОЕ ЗНАЧЕНИЕ И МЕТОДЫ ИЗМЕРЕНИЯ</t>
  </si>
  <si>
    <t>Алексеева Л.И., Мягков М.С., Семёнов Е.К. и др.</t>
  </si>
  <si>
    <t>978-5-16-018563-7</t>
  </si>
  <si>
    <t>05.03.04</t>
  </si>
  <si>
    <t>Допущено Учебно-методическим объединением по классическому университетскому образованию РФ вкачестве учебного пособия для студентов высших учебных заведений, обучающихся по направлению подготовки «Экология и природопользование»</t>
  </si>
  <si>
    <t>718891.04.01</t>
  </si>
  <si>
    <t>Уязвимость ландшафтов: понятие и..: Моногр./ И.И.Кесорецких-М.:НИЦ ИНФРА-М,2024.-189 с.(Науч.мысль)(О)</t>
  </si>
  <si>
    <t>УЯЗВИМОСТЬ ЛАНДШАФТОВ: ПОНЯТИЕ И ОЦЕНКА</t>
  </si>
  <si>
    <t>Кесорецких И.И., Зотов С.И.</t>
  </si>
  <si>
    <t>978-5-16-015679-8</t>
  </si>
  <si>
    <t>05.03.06, 05.04.06, 05.06.01</t>
  </si>
  <si>
    <t>294000.04.01</t>
  </si>
  <si>
    <t>Фазовые равновесия в двухкомп. систем.: Уч.пос. / Под ред.Бабаевского П.Г.-М.:НИЦ ИНФРА-М,2024-130с.(ВО)(о)</t>
  </si>
  <si>
    <t>ФАЗОВЫЕ РАВНОВЕСИЯ В ДВУХКОМПОНЕНТНЫХ СИСТЕМАХ</t>
  </si>
  <si>
    <t>Ильина Е.Б., Хохлачева Н.М., Истомина Н. и др.</t>
  </si>
  <si>
    <t>978-5-16-011821-5</t>
  </si>
  <si>
    <t>04.03.02, 22.03.01, 22.04.01</t>
  </si>
  <si>
    <t>Допущено УМО высших учебных заведений Российской Федерации по образованию в области материаловедения, технологии материалов и покрытий в качестве учебного пособия для студентов высших учебных заведений, обучающихся по направлению подготовки бакалавров и магистров 22.03.01 и 22.04.01 "Материаловедение и технологии материалов"</t>
  </si>
  <si>
    <t>222600.07.01</t>
  </si>
  <si>
    <t>Физика в вузе. Современный уч. по механике: Моногр. /С.И.Кузнецов-М.:Вуз. уч., НИЦ ИНФРА-М,2024.-264 с.(о)</t>
  </si>
  <si>
    <t>ФИЗИКА В ВУЗЕ. СОВРЕМЕННЫЙ УЧЕБНИК ПО МЕХАНИКЕ</t>
  </si>
  <si>
    <t>Кузнецов С. И.</t>
  </si>
  <si>
    <t>978-5-9558-0324-1</t>
  </si>
  <si>
    <t>02.03.03, 03.03.02, 03.03.03, 01.03.03, 03.04.02, 04.04.02, 01.04.03</t>
  </si>
  <si>
    <t>090200.14.01</t>
  </si>
  <si>
    <t>Физика в примерах и задачах: Уч.пос. / Е.И.Дмитриева - 2 изд. - М.:Форум:НИЦ Инфра-М, 2023-512с.(ПО) (П)</t>
  </si>
  <si>
    <t>ФИЗИКА В ПРИМЕРАХ И ЗАДАЧАХ, ИЗД.2</t>
  </si>
  <si>
    <t>Дмитриева Е. И., Иевлева Л. Д., Костюченко Л. Д.</t>
  </si>
  <si>
    <t>978-5-91134-712-3</t>
  </si>
  <si>
    <t>477200.06.01</t>
  </si>
  <si>
    <t>Физика Земли: Уч. / В.С.Захаров - М.:НИЦ ИНФРА-М,2024 - 328 с. (ВО)(п)</t>
  </si>
  <si>
    <t>ФИЗИКА ЗЕМЛИ</t>
  </si>
  <si>
    <t>Захаров В.С., Смирнов В.Б.</t>
  </si>
  <si>
    <t>978-5-16-018862-1</t>
  </si>
  <si>
    <t>05.03.01, 05.04.01, 21.05.03, 21.05.02</t>
  </si>
  <si>
    <t>Рекомендовано в качестве учебника для студентов высших учебных заведений, обучающихся по направлению подготовки 05.03.01 «Геология» (квалификация (степень) «бакалавр»)</t>
  </si>
  <si>
    <t>769776.02.01</t>
  </si>
  <si>
    <t>Физика Земли: Уч.пос. / В.В.Нескоромных и др. - М.:НИЦ ИНФРА-М, СФУ,2023 - 229 с.(ВО: Спец. (СФУ))(П)</t>
  </si>
  <si>
    <t>Нескоромных В.В., Попова М.С., Вахромеев А.Г. и др.</t>
  </si>
  <si>
    <t>978-5-16-017384-9</t>
  </si>
  <si>
    <t>21.04.01, 21.05.06, 21.05.03, 21.05.02, 21.05.05, 21.05.04, 21.03.01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</si>
  <si>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специальности 21.05.03 «Технология геологической разведки» (квалификация  «Горный инженер-геофизик») (протокол № 6 от 16.06.2021)</t>
  </si>
  <si>
    <t>400750.06.01</t>
  </si>
  <si>
    <t>Физика и естествознание. Практ. раб.: Уч. пос. / С.Б.Акименко - М.:ИЦ РИОР:ИНФРА-М,2023-52с.(ВО) (о)</t>
  </si>
  <si>
    <t>ФИЗИКА И ЕСТЕСТВОЗНАНИЕ. ПРАКТИЧЕСКИЕ РАБОТЫ</t>
  </si>
  <si>
    <t>Акименко С.Б., Яворук О.А.</t>
  </si>
  <si>
    <t>978-5-369-01104-1</t>
  </si>
  <si>
    <t>00.02.23, 00.02.20</t>
  </si>
  <si>
    <t>634148.06.01</t>
  </si>
  <si>
    <t>Физика минералов: Уч. / Д.Г.Кощуг - М.:НИЦ ИНФРА-М,2023 - 348 с.(ВО)(П)</t>
  </si>
  <si>
    <t>ФИЗИКА МИНЕРАЛОВ</t>
  </si>
  <si>
    <t>Кощуг Д.Г., Кротова О.Д.</t>
  </si>
  <si>
    <t>978-5-16-018940-6</t>
  </si>
  <si>
    <t>Допущено УМС геологического факультета МГУ имени М. В. Ломоносова в качестве учебного пособия для студентов, обучающихся по направлению 05.03.01 «Геология»</t>
  </si>
  <si>
    <t>422200.04.01</t>
  </si>
  <si>
    <t>Физика твердого тела: Уч.пос. / Ю.А.Стрекалов-М.:ИЦ РИОР, НИЦ ИНФРА-М,2023.-307 с.(ВО: Бакалавр.)(п)</t>
  </si>
  <si>
    <t>ФИЗИКА ТВЕРДОГО ТЕЛА</t>
  </si>
  <si>
    <t>Стрекалов Ю. А., Тенякова Н. А.</t>
  </si>
  <si>
    <t>978-5-369-00967-3</t>
  </si>
  <si>
    <t>11.03.02, 11.04.02</t>
  </si>
  <si>
    <t>Северо-Кавказский федеральный университет</t>
  </si>
  <si>
    <t>457550.07.01</t>
  </si>
  <si>
    <t>Физика. Волновая оптика. Квант. природа..: Уч.пос. / С.И.Кузнецов-3изд.-Вуз. уч.:ИНФРА-М, 2024-212с.(п)</t>
  </si>
  <si>
    <t>ФИЗИКА. ВОЛНОВАЯ ОПТИКА. КВАНТОВАЯ ПРИРОДА ИЗЛУЧЕНИЯ. ЭЛЕМЕНТЫ АТОМНОЙ И ЯДЕРНОЙ ФИЗИКИ, ИЗД.3</t>
  </si>
  <si>
    <t>Кузнецов С.И., Лидер А.М.</t>
  </si>
  <si>
    <t>978-5-9558-0350-0</t>
  </si>
  <si>
    <t>03.03.01, 03.03.03, 12.03.02, 03.04.01, 03.04.02, 03.04.03</t>
  </si>
  <si>
    <t>Допущено Научно-методическим советом по физике Министерства образования и науки Российской Федерации в качестве учебного пособия для студентов высших учебных заведений, обучающихся по техническим направлениям подготовки и специальностям</t>
  </si>
  <si>
    <t>233800.07.01</t>
  </si>
  <si>
    <t>Физика. Основы электродинамики. Электромаг..: Уч.пос. / С.И.Кузнецов - 4 изд. - Вуз.уч.:ИНФРА-М,2023-231с.(П)</t>
  </si>
  <si>
    <t>ФИЗИКА. ОСНОВЫ ЭЛЕКТРОДИНАМИКИ. ЭЛЕКТРОМАГНИТНЫЕ КОЛЕБАНИЯ И ВОЛНЫ, ИЗД.4</t>
  </si>
  <si>
    <t>Кузнецов С.И.</t>
  </si>
  <si>
    <t>978-5-9558-0332-6</t>
  </si>
  <si>
    <t>03.03.01, 03.03.02, 03.03.03, 11.03.01, 11.03.02, 11.03.03, 11.03.04, 12.03.03, 12.03.04, 12.03.01, 12.03.02, 12.03.05, 13.03.02, 14.03.02, 13.03.03, 16.03.03, 14.03.01, 16.03.01, 16.03.02, 13.03.01</t>
  </si>
  <si>
    <t>444200.08.01</t>
  </si>
  <si>
    <t>Физика.Теория и практика: Уч.пос. / С.О.Крамаров - 2изд. - М.:ИЦ РИОР,НИЦ ИНФРА-М,2024 -380с.(ВО)(п)</t>
  </si>
  <si>
    <t>ФИЗИКА.ТЕОРИЯ И ПРАКТИКА, ИЗД.2</t>
  </si>
  <si>
    <t>КрамаровС.О.</t>
  </si>
  <si>
    <t>978-5-369-01522-3</t>
  </si>
  <si>
    <t>12.03.03, 12.03.04, 12.03.05, 13.03.02, 13.03.03, 16.03.01, 16.03.02, 13.03.01, 19.03.03, 19.03.04, 19.03.01</t>
  </si>
  <si>
    <t>Рекомендовано Учебно-методическим объединением по образованию в области технологии продуктов питания и пищевой инженерии в качестве учебного пособия для студентов высших учебных заведений, обучающихся по направлению подготовки "Технология продовольственных продуктов и потребительских товаров"</t>
  </si>
  <si>
    <t>083430.13.01</t>
  </si>
  <si>
    <t>Физика: лаб. работы с вопр. и заданиями: Уч.пос. / О.М.Тарасов, - 2 изд.-М.:Форум, НИЦ ИНФРА-М,2024.-97с(О)</t>
  </si>
  <si>
    <t>ФИЗИКА: ЛАБОРАТОРНЫЕ РАБОТЫ С ВОПРОСАМИ И ЗАДАНИЯМИ, ИЗД.2</t>
  </si>
  <si>
    <t>Тарасов О.М.</t>
  </si>
  <si>
    <t>978-5-00091-472-4</t>
  </si>
  <si>
    <t>31.02.01, 00.02.23</t>
  </si>
  <si>
    <t>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</si>
  <si>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409750.07.01</t>
  </si>
  <si>
    <t>Физика: Лабораторный практикум: Уч. пос. / В.Г.Хавруняк - М.: НИЦ Инфра-М, 2023-142с.(ВО: Бакалавр.) (о)</t>
  </si>
  <si>
    <t>ФИЗИКА: ЛАБОРАТОРНЫЙ ПРАКТИКУМ</t>
  </si>
  <si>
    <t>978-5-16-006428-4</t>
  </si>
  <si>
    <t>09.03.01, 09.03.04, 09.03.02, 11.03.01, 11.03.02, 11.03.03, 11.03.04, 12.03.03, 12.03.04, 12.03.01, 12.03.02, 12.03.05, 13.03.02, 14.03.02, 13.03.03, 16.03.03, 14.03.01, 16.03.01, 16.03.02, 13.03.01, 15.03.02, 15.03.01, 15.03.03, 15.03.04, 15.03.06, 15.03.05, 13.04.01, 09.03.03</t>
  </si>
  <si>
    <t>443850.07.01</t>
  </si>
  <si>
    <t>Физика: Механика. Мех. колебания..: Уч. пос. / С.И.Кузнецов - 4 изд. - М.:Вуз. уч.:ИНФРА-М,2023-248с (П)</t>
  </si>
  <si>
    <t>ФИЗИКА: МЕХАНИКА. МЕХАНИЧЕСКИЕ КОЛЕБАНИЯ И ВОЛНЫ. МОЛЕКУЛЯРНАЯ ФИЗИКА. ТЕРМОДИНАМИКА, ИЗД.4</t>
  </si>
  <si>
    <t>978-5-9558-0317-3</t>
  </si>
  <si>
    <t>11.03.01, 11.03.02, 11.03.03, 11.03.04, 12.03.03, 12.03.04, 12.03.01, 12.03.02, 12.03.05, 13.03.02, 14.03.02, 13.03.03, 16.03.03, 14.03.01, 16.03.01, 16.03.02, 13.03.01</t>
  </si>
  <si>
    <t>665913.03.01</t>
  </si>
  <si>
    <t>Физика: Пос. для самост. раб. студ. тех. универ.: Уч.пос. / А.Ф.Смык - М.:НИЦ ИНФРА-М,2023 - 388 с.(П)</t>
  </si>
  <si>
    <t>ФИЗИКА: ПОСОБИЕ ДЛЯ САМОСТОЯТЕЛЬНОЙ РАБОТЫ СТУДЕНТОВ ТЕХНИЧЕСКИХ УНИВЕРСИТЕТОВ</t>
  </si>
  <si>
    <t>Смык А.Ф., Тимофеева Г.Ю., Ткачева Т.М.</t>
  </si>
  <si>
    <t>978-5-16-014670-6</t>
  </si>
  <si>
    <t>00.03.14, 03.03.02, 01.03.03, 20.03.01, 13.03.02, 14.03.02, 13.03.03, 14.03.01, 13.03.01, 15.03.02, 15.03.01, 15.03.03, 15.03.04, 15.03.06, 15.03.05, 20.03.02, 01.03.01, 01.03.02, 21.03.02, 21.03.01, 21.03.03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</si>
  <si>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естественно-научным и техническим направлениям подготовки (квалификация (степень) «бакалавр») (протокол № 13 от 16.09.2019)</t>
  </si>
  <si>
    <t>700862.03.01</t>
  </si>
  <si>
    <t>Физика: практикум в Excel: Уч..пос. / О.А.Сдвижков-М.:НИЦ ИНФРА-М,2024.-274 с.(СПО)(п)</t>
  </si>
  <si>
    <t>ФИЗИКА: ПРАКТИКУМ В EXCEL</t>
  </si>
  <si>
    <t>Сдвижков О.А., Мацнев Н.П.</t>
  </si>
  <si>
    <t>978-5-16-015002-4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</si>
  <si>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на базе основного общего образования (протокол № 2 от 17.02.2021)</t>
  </si>
  <si>
    <t>Российский государственный университет туризма и сервиса</t>
  </si>
  <si>
    <t>038040.21.01</t>
  </si>
  <si>
    <t>Физика: Уч. / А.А.Пинский и др., - 4 изд.- М.:Форум, НИЦ ИНФРА-М,2023 - 560 с..-(СПО)(П)</t>
  </si>
  <si>
    <t>ФИЗИКА, ИЗД.4</t>
  </si>
  <si>
    <t>Пинский А.А., Граковский Г.Ю., Дик Ю.И. и др.</t>
  </si>
  <si>
    <t>978-5-00091-739-8</t>
  </si>
  <si>
    <t>31.02.01, 10.02.04, 00.02.23</t>
  </si>
  <si>
    <t>Рекомендовано Министерством образования Российской Федерации в качестве учебника для студентов учреждений среднего профессионального образования</t>
  </si>
  <si>
    <t>Российская академия образования</t>
  </si>
  <si>
    <t>293900.12.01</t>
  </si>
  <si>
    <t>Физика: Уч. / В.И.Демидченко - 6 изд. - М.:НИЦ ИНФРА-М,2023 - 581 с.(ВО: Бакалавриат)(П)</t>
  </si>
  <si>
    <t>ФИЗИКА, ИЗД.6</t>
  </si>
  <si>
    <t>Демидченко В.И., Демидченко И.В.</t>
  </si>
  <si>
    <t>978-5-16-010079-1</t>
  </si>
  <si>
    <t>25.05.05, 25.05.04, 25.05.01, 25.05.02, 25.05.03, 25.03.01, 25.03.03, 25.03.04, 25.03.02</t>
  </si>
  <si>
    <t>Рекомендовано федеральным государственным бюджетным образовательным учреждением высшего образования «Санкт-Петербургский государственный университет гражданской авиации» в качестве учебника для студентов высших учебных заведений и курсантов высших военно-учебных заведений, обучающихся по направлению 25.03.03 «Аэронавигация» и специальностям высшего образования  «Эксплуатация воздушных судов и организация воздушного движения», «Летная эксплуатация воздушных судов» и «Аэронавигационное обслуживание и использование воздушного пространства»</t>
  </si>
  <si>
    <t>0615</t>
  </si>
  <si>
    <t>421050.02.01</t>
  </si>
  <si>
    <t>Физика: Уч. пос. / А.В. Ильюшонок - М.: НИЦ ИНФРА-М; Мн.: Нов. знание, 2015-600с.(ВО) (п)</t>
  </si>
  <si>
    <t>ФИЗИКА</t>
  </si>
  <si>
    <t>Ильюшонок А.В., Астахов П.В., Гончаренко И.А.</t>
  </si>
  <si>
    <t>978-5-16-006556-4</t>
  </si>
  <si>
    <t>09.03.01, 09.03.04, 09.03.02, 11.03.01, 11.03.02, 10.03.01, 11.03.03, 11.03.04, 12.03.03, 12.03.04, 12.03.01, 12.03.02, 12.03.05, 13.03.02, 14.03.02, 13.03.03, 16.03.03, 14.03.01, 16.03.01, 16.03.02, 13.03.01, 15.03.02, 15.03.01, 15.03.03, 15.03.04, 15.03.06, 15.03.05, 09.03.03</t>
  </si>
  <si>
    <t>Университет гражданской защиты МЧС Республики Беларусь</t>
  </si>
  <si>
    <t>217800.08.01</t>
  </si>
  <si>
    <t>Физика: Уч.пос. / О.М.Тарасов-М.:Форум, НИЦ ИНФРА-М,2024.-432 с.(СПО)(П)</t>
  </si>
  <si>
    <t>Тарасов О. М.</t>
  </si>
  <si>
    <t>978-5-91134-777-2</t>
  </si>
  <si>
    <t>Рекомендовано Экспертным советом при ГБОУ УМЦ по профессиональному образованию Департамента образования города Москвы для использования в образовательном процессе учреждений среднего профессионального образования города Москвы</t>
  </si>
  <si>
    <t>113350.06.01</t>
  </si>
  <si>
    <t>Физика: формулы и определения: Шпаргалка - М.:ИЦ РИОР,2023 - 112 с.-(Шпаргалка [отрывная])(О)</t>
  </si>
  <si>
    <t>ФИЗИКА: ФОРМУЛЫ И ОПРЕДЕЛЕНИЯ</t>
  </si>
  <si>
    <t>978-5-369-00526-2</t>
  </si>
  <si>
    <t>03.03.01, 03.03.02, 03.03.03</t>
  </si>
  <si>
    <t>076230.08.01</t>
  </si>
  <si>
    <t>Физика: Шпаргалка - М.:ИЦ РИОР,-160 с.-(Шпаргалка [отрывная])(О)</t>
  </si>
  <si>
    <t>978-5-369-00019-9</t>
  </si>
  <si>
    <t>670038.03.01</t>
  </si>
  <si>
    <t>Физика:Уч.пос. для подготовительных факультетов / Г.П.Киселева-М.:НИЦ ИНФРА-М, СФУ,2023-308с(ВО)(П)</t>
  </si>
  <si>
    <t>Киселева Г.П., Киселев В.М.</t>
  </si>
  <si>
    <t>978-5-16-013358-4</t>
  </si>
  <si>
    <t>Допущено Научно-методическим советом по физике Министерства образования и науки Российской Федерации в качестве учебного пособия для подготовительных отделений высших учебных заведений</t>
  </si>
  <si>
    <t>078190.12.01</t>
  </si>
  <si>
    <t>Физико-химические процессы в техносфере: Уч. / К.И.Трифонов - М.:Форум, НИЦ ИНФРА-М,2022 - 256 с.-(ВО)</t>
  </si>
  <si>
    <t>ФИЗИКО-ХИМИЧЕСКИЕ ПРОЦЕССЫ В ТЕХНОСФЕРЕ, ИЗД.2</t>
  </si>
  <si>
    <t>Трифонов К. И., Девисилов В. А.</t>
  </si>
  <si>
    <t>978-5-00091-002-3</t>
  </si>
  <si>
    <t>Допущено Мин. обр. и науки РФ в качестве учебника для студентов вузов, обуч. по специальности "Безопасность жизнедеятельности в техносфере" направления "Безопасность жизнедеятельности"</t>
  </si>
  <si>
    <t>Ковровская государственная технологическая академия имени В.А.Дегтярева</t>
  </si>
  <si>
    <t>365800.07.01</t>
  </si>
  <si>
    <t>Физиология с основами анатомии: Уч. / А.И.Тюкавин- 2 изд.-М.:НИЦ ИНФРА-М,2023.-813 с.(ВО: Спец.)(п)</t>
  </si>
  <si>
    <t>ФИЗИОЛОГИЯ С ОСНОВАМИ АНАТОМИИ, ИЗД.2</t>
  </si>
  <si>
    <t>Тюкавин А.И., Арсениев Н.А., Васильев А.Г. и др.</t>
  </si>
  <si>
    <t>978-5-16-018019-9</t>
  </si>
  <si>
    <t>31.05.01, 33.05.01, 34.03.01, 49.03.01, 49.03.02, 49.03.03</t>
  </si>
  <si>
    <t>Санкт-Петербургский государственный химико-фармацевтический университет</t>
  </si>
  <si>
    <t>690260.03.01</t>
  </si>
  <si>
    <t>Физиология человека: Уч.пос. / Е.В.Евстафьева - М.:НИЦ ИНФРА-М,2024 - 355 с.-(ВО: Спец. (КрымФУ))(П)</t>
  </si>
  <si>
    <t>ФИЗИОЛОГИЯ ЧЕЛОВЕКА</t>
  </si>
  <si>
    <t>Евстафьева Е.В., Бояринцева Ю.А., Залата О.А. и др.</t>
  </si>
  <si>
    <t>Высшее образование: Специалитет (КрымФУ)</t>
  </si>
  <si>
    <t>978-5-16-016184-6</t>
  </si>
  <si>
    <t>04.03.02, 20.03.01, 06.04.01, 19.04.04, 30.05.03, 36.05.01, 25.05.05, 44.03.05, 49.03.01, 49.03.02, 49.03.03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</si>
  <si>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медицинским специальностям (квалификация «врач») (протокол № 10 от 15.12.2021)</t>
  </si>
  <si>
    <t>Академический научно-исследовательский институт физических методов лечения, медицинской климатологии</t>
  </si>
  <si>
    <t>244900.03.01</t>
  </si>
  <si>
    <t>Физиология человека: уч.пос. / Р.И.Айзман и др., - 2-е изд., доп. и перераб.-М.:НИЦ ИНФРА-М,2018.-432 с..-(ВО: Бакалавриат)(п)</t>
  </si>
  <si>
    <t>ФИЗИОЛОГИЯ ЧЕЛОВЕКА, ИЗД.2</t>
  </si>
  <si>
    <t>Айзман Р.И., Абаскалова Н.П., Шуленина Н.С.</t>
  </si>
  <si>
    <t>978-5-16-009279-9</t>
  </si>
  <si>
    <t>44.04.01, 44.03.01, 44.03.05</t>
  </si>
  <si>
    <t>Рекомендовано Региональным центром Сибирского Федерального округа по развитию преподавания безопасности жизнедеятельности в качестве учебного пособия для студентов высших учебных заведений, обучающихся по направлению 44.04.01 (050100.62) «Педагогическое образование» (профили «Безопасность жизнедеятельности», «Биология», «Психология»</t>
  </si>
  <si>
    <t>Новосибирский государственный педагогический университет</t>
  </si>
  <si>
    <t>266000.07.01</t>
  </si>
  <si>
    <t>Физическая химия: Уч.: Т.1: Общая хим. термодинамика / А.Я.Борщевский-М.:НИЦ ИНФРА-М,2023.-606 с.(ВО)(п)</t>
  </si>
  <si>
    <t>ФИЗИЧЕСКАЯ ХИМИЯ, Т.1</t>
  </si>
  <si>
    <t>Борщевский А.Я.</t>
  </si>
  <si>
    <t>978-5-16-018556-9</t>
  </si>
  <si>
    <t>04.03.02, 04.03.01, 18.03.01, 18.03.02, 19.03.01, 03.04.01, 31.05.01, 31.05.02, 31.05.03, 33.05.01, 00.03.31</t>
  </si>
  <si>
    <t>Рекомендовано в качестве учебника для студентов высших учебных заведений, обучающихся по направлениям подготовки 04.03.01 «Химия», 18.03.01 «Химическая технология», 03.03.01 «Прикладные математика и физика» (квалификация (степень) «бакалавр»)</t>
  </si>
  <si>
    <t>268000.07.01</t>
  </si>
  <si>
    <t>Физическая химия: Уч.: Т.2: Статист. термодинамика / А.Я.Борщевский - М.:НИЦ ИНФРА-М,2023 - 383 с.(ВО)(п)</t>
  </si>
  <si>
    <t>ФИЗИЧЕСКАЯ ХИМИЯ, Т.2</t>
  </si>
  <si>
    <t>978-5-16-018557-6</t>
  </si>
  <si>
    <t>04.03.02, 04.03.01, 18.03.01, 18.03.02, 19.03.01, 31.05.01, 31.05.02, 31.05.03, 33.05.01</t>
  </si>
  <si>
    <t>Рекомендовано в качестве учебника для студентов высших учебных заведений, обучающихся по направлениям подготовки 04.03.01 «Химия», 18.03.01 «Химическая технология», 03.03.01 «Прикладные математика и физика»  (квалификация (степень) «бакалавр»)</t>
  </si>
  <si>
    <t>292600.05.01</t>
  </si>
  <si>
    <t>Физическая химия: Уч.пос. / Д.П.Зарубин - М.:НИЦ ИНФРА-М,2024 - 474 с.-(ВО: Бакалавриат)(П)</t>
  </si>
  <si>
    <t>ФИЗИЧЕСКАЯ ХИМИЯ</t>
  </si>
  <si>
    <t>Зарубин Д.П.</t>
  </si>
  <si>
    <t>978-5-16-010067-8</t>
  </si>
  <si>
    <t>04.03.02, 04.03.01, 18.03.01, 35.03.03, 18.03.02, 04.05.01, 31.05.01, 31.05.02, 31.05.03, 33.05.01, 30.05.01, 18.05.02, 18.05.01</t>
  </si>
  <si>
    <t>Рекомендовано в качестве учебного пособия для студентов высших учебных заведений, обучающихся по направлениям подготовки 04.03.01 «Химия»; 18.03.01 «Химическая технология»; 18.03.02 «Энерго- и ресурсосберегающие процессы в химической технологии, нефтетехнологии и биотехнологии»; 19.03.01 «Биотехнология» (квалификация (степень) «бакалавр»)</t>
  </si>
  <si>
    <t>Московский государственный университет технологий и управления им. К.Г. Разумовского</t>
  </si>
  <si>
    <t>330900.07.01</t>
  </si>
  <si>
    <t>Физические основы биосенсорики: Уч.пос. / Г.П.Горбенко и др.-М.:Вуз. уч., НИЦ ИНФРА-М,2024.-140 с.(о)</t>
  </si>
  <si>
    <t>ФИЗИЧЕСКИЕ ОСНОВЫ БИОСЕНСОРИКИ</t>
  </si>
  <si>
    <t>Горбенко Г.П., Трусова В.М., Евстигнеев М.П.</t>
  </si>
  <si>
    <t>978-5-9558-0415-6</t>
  </si>
  <si>
    <t>12.03.04, 12.04.04</t>
  </si>
  <si>
    <t>Харьковский национальный университет им. В.Н. Каразина</t>
  </si>
  <si>
    <t>183800.06.01</t>
  </si>
  <si>
    <t>Физические основы волоконной оптики: Уч.пос./ А.В.Стрекалов-М:ИЦ РИОР:Инфра-М,2023-106с(ВО:Бакалавр) (п)</t>
  </si>
  <si>
    <t>ФИЗИЧЕСКИЕ ОСНОВЫ ВОЛОКОННОЙ ОПТИКИ</t>
  </si>
  <si>
    <t>Стрекалов А. В., Тенякова Н. А.</t>
  </si>
  <si>
    <t>978-5-369-00966-6</t>
  </si>
  <si>
    <t>11.03.02, 12.03.02, 11.04.02</t>
  </si>
  <si>
    <t>Рекомендованно УМО по образованию в области телекоммуникаций в качестве учебного пособия для студентов, обучающихся по специальностям 200900 "Сети связи и системы коммуникаций", 201000 "Многоканальные телекоммуникационные системы"</t>
  </si>
  <si>
    <t>648703.05.01</t>
  </si>
  <si>
    <t>Физические основы лазерной техники: Уч.пос. / Б.Н.Пойзнер - 2-изд.-М.:НИЦ ИНФРА-М,2021 - 160с(ВО)(П)</t>
  </si>
  <si>
    <t>ФИЗИЧЕСКИЕ ОСНОВЫ ЛАЗЕРНОЙ ТЕХНИКИ, ИЗД.2</t>
  </si>
  <si>
    <t>Пойзнер Б.Н.</t>
  </si>
  <si>
    <t>978-5-16-012817-7</t>
  </si>
  <si>
    <t>12.04.02, 12.04.05, 12.04.03</t>
  </si>
  <si>
    <t>Рекомендовано УМО по образованию в области приборостроения и оптотехники в качестве учебного пособия для студентов высших учебных заведений, обучающихся по направлению подготовки «Оптотехника» и специальностям «Лазерная техника и лазерные технологии», «Оптико-электронные приборы и системы»</t>
  </si>
  <si>
    <t>670460.02.01</t>
  </si>
  <si>
    <t>Физические св-ва гор. пород запад. части Сибир. платф.: Моногр. / А.М.Капитонов-М:НИЦ ИНФРА-М,СФУ,2020-424с</t>
  </si>
  <si>
    <t>ФИЗИЧЕСКИЕ СВОЙСТВА ГОРНЫХ ПОРОД ЗАПАДНОЙ ЧАСТИ СИБИРСКОЙ ПЛАТФОРМЫ</t>
  </si>
  <si>
    <t>Капитонов А.М., Васильев В.Г.</t>
  </si>
  <si>
    <t>978-5-16-013365-2</t>
  </si>
  <si>
    <t>686518.02.01</t>
  </si>
  <si>
    <t>Физическое и математич. моделир. строит. сис.: Уч.пос. / В.Т.Чемодуров-М.:НИЦ ИНФРА-М,2023.-196 с.(ВО)(П)</t>
  </si>
  <si>
    <t>ФИЗИЧЕСКОЕ И МАТЕМАТИЧЕСКОЕ МОДЕЛИРОВАНИЕ СТРОИТЕЛЬНЫХ СИСТЕМ</t>
  </si>
  <si>
    <t>Чемодуров В.Т., Литвинова Э.В.</t>
  </si>
  <si>
    <t>Высшее образование: Магистратура  (КрымФУ)</t>
  </si>
  <si>
    <t>978-5-16-014993-6</t>
  </si>
  <si>
    <t>08.04.01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</si>
  <si>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38.04.01 «Строительство» (квалификация (степень) «магистр») (протокол № 10 от 12.10.2020)</t>
  </si>
  <si>
    <t>660983.04.01</t>
  </si>
  <si>
    <t>Физическое материаловедение: Уч.пос.: В 2 ч.Ч. 1: /В.И.Томилин.-М.:НИЦ ИНФРА-М,СФУ,2023-280с.(ВО)(П)</t>
  </si>
  <si>
    <t>ФИЗИЧЕСКОЕ МАТЕРИАЛОВЕДЕНИЕ, Т.1</t>
  </si>
  <si>
    <t>Томилин В.И., Томилина Н.П., Бахтина В.А.</t>
  </si>
  <si>
    <t>978-5-16-012962-4</t>
  </si>
  <si>
    <t>11.03.01, 11.03.02, 11.03.03, 11.03.04</t>
  </si>
  <si>
    <t>Рекомендовано УМО вузов РФ по образованию в области радиотехники, электроники, биомедицинской техники и автоматизации в качестве учебного пособия для студентов высших учебных заведений, обучающихся по специальности «Проектирование и технология радиоэлектронных средств»</t>
  </si>
  <si>
    <t>457750.04.01</t>
  </si>
  <si>
    <t>Финансовая математика: Уч. пос./ П.Н. Брусов. - М.: НИЦ ИНФРА-М, 2020- 480с(ВО: Магистратура)(п)</t>
  </si>
  <si>
    <t>ФИНАНСОВАЯ МАТЕМАТИКА</t>
  </si>
  <si>
    <t>Брусов П. Н., Филатова Т. В.</t>
  </si>
  <si>
    <t>978-5-16-005134-5</t>
  </si>
  <si>
    <t>25.04.03, 01.04.02, 38.04.01, 38.04.08, 38.04.06, 38.04.05, 09.04.03, 38.03.01, 38.03.02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</si>
  <si>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направлениям «Экономика», «Финансы и кредит» (степень — магистр)</t>
  </si>
  <si>
    <t>441350.07.01</t>
  </si>
  <si>
    <t>Финансовая математика: Уч.пос. / А.С.Чуйко-М.:НИЦ ИНФРА-М,2024-160с.(ВО: Бакалавриат)(П)</t>
  </si>
  <si>
    <t>Чуйко А. С., Шершнев В. Г.</t>
  </si>
  <si>
    <t>978-5-16-015641-5</t>
  </si>
  <si>
    <t>38.03.01, 38.03.06, 38.03.02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</si>
  <si>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 (протокол № 11 от 11.06.2019)</t>
  </si>
  <si>
    <t>034100.18.01</t>
  </si>
  <si>
    <t>Финансовые вычисления.Теор.и практ.: Уч.-справ.пос. /Я.С.Мелкумов -2 изд. -М.:НИЦ ИНФРА-М, 2024-408с(П)</t>
  </si>
  <si>
    <t>ФИНАНСОВЫЕ ВЫЧИСЛЕНИЯ. ТЕОРИЯ И ПРАКТИКА, ИЗД.2</t>
  </si>
  <si>
    <t>Мелкумов Я.С.</t>
  </si>
  <si>
    <t>978-5-16-005751-4</t>
  </si>
  <si>
    <t>38.02.07, 38.02.01, 38.02.03, 38.04.09, 38.04.07, 25.04.03, 25.04.04, 27.04.07, 38.04.01, 38.04.08, 38.04.02, 38.04.04, 38.04.05, 38.05.01, 23.03.01, 38.03.01, 38.03.05, 38.03.06, 38.03.02, 38.03.04, 38.03.03, 44.03.01, 44.03.05, 41.03.06</t>
  </si>
  <si>
    <t>Рекомендовано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</si>
  <si>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751089.01.01</t>
  </si>
  <si>
    <t>Формирование и структура биоты природ. экосистем Камчатки: Моногр. / А.Н.Сметанин-М.:НИЦ ИНФРА-М,2022.-183 с.(Науч.мысль)(О)</t>
  </si>
  <si>
    <t>ФОРМИРОВАНИЕ И СТРУКТУРА БИОТЫ ПРИРОДНЫХ ЭКОСИСТЕМ КАМЧАТКИ</t>
  </si>
  <si>
    <t>978-5-16-016893-7</t>
  </si>
  <si>
    <t>05.03.06, 05.04.06, 05.06.01, 06.06.01</t>
  </si>
  <si>
    <t>668761.03.01</t>
  </si>
  <si>
    <t>Формирование комп.учен.для межд.научной проект.деят.: Моногр. / Н.М.Эдвардс - М.:НИЦ ИНФРА-М,СФУ,2022 - 239 с(П)</t>
  </si>
  <si>
    <t>ФОРМИРОВАНИЕ КОМПЕТЕНТНОСТИ УЧЕНОГО ДЛЯ МЕЖДУНАРОДНОЙ НАУЧНОЙ ПРОЕКТНОЙ ДЕЯТЕЛЬНОСТИ</t>
  </si>
  <si>
    <t>Эдвардс Н.М., Осипова С.И.</t>
  </si>
  <si>
    <t>978-5-16-013318-8</t>
  </si>
  <si>
    <t>Белорусский государственный экономический университет</t>
  </si>
  <si>
    <t>649031.03.01</t>
  </si>
  <si>
    <t>Функции компл. переменной, ряды и операц. исчис.: Уч.пос./К.В.Титов-М.:ИЦ РИОР,НИЦ ИНФРА-М,2023-238с</t>
  </si>
  <si>
    <t>ФУНКЦИИ КОМПЛЕКСНОЙ ПЕРЕМЕННОЙ, РЯДЫ И ОПЕРАЦИОННОЕ ИСЧИСЛЕНИЕ</t>
  </si>
  <si>
    <t>Титов К.В., Горелов Н.Д.</t>
  </si>
  <si>
    <t>978-5-369-01677-0</t>
  </si>
  <si>
    <t>04.03.02, 02.03.03, 03.03.02, 01.03.04, 16.03.03, 15.03.03, 01.03.01, 02.03.01</t>
  </si>
  <si>
    <t>679447.03.01</t>
  </si>
  <si>
    <t>Функционально устойчивые сист.упр.: асимптотические..:Моногр./С.А.Дубовик-М.:НИЦ ИНФРА-М,2023-249с.</t>
  </si>
  <si>
    <t>ФУНКЦИОНАЛЬНО УСТОЙЧИВЫЕ СИСТЕМЫ УПРАВЛЕНИЯ: АСИМПТОТИЧЕСКИЕ МЕТОДЫ СИНТЕЗА</t>
  </si>
  <si>
    <t>Дубовик С.А., Кабанов А.А.</t>
  </si>
  <si>
    <t>978-5-16-014078-0</t>
  </si>
  <si>
    <t>13.03.03, 27.03.05, 01.04.03</t>
  </si>
  <si>
    <t>437850.05.01</t>
  </si>
  <si>
    <t>Химическая безопасность и монитор. живых..: Уч. пос./Г.К.Будников - М.: НИЦ ИНФРА-М, 2023-320с.(ВО) (п)</t>
  </si>
  <si>
    <t>ХИМИЧЕСКАЯ БЕЗОПАСНОСТЬ И МОНИТОРИНГ ЖИВЫХ СИСТЕМ НА ПРИНЦИПАХ БИОМИМЕТИКИ</t>
  </si>
  <si>
    <t>Будников Г. К., Гармонов С. Ю., Медянцева Э. П., Евтюгин Г. А.</t>
  </si>
  <si>
    <t>978-5-16-005749-1</t>
  </si>
  <si>
    <t>20.02.01, 33.02.01, 04.03.02, 04.03.01, 05.03.06, 06.03.02, 18.03.01, 19.03.04, 31.05.01, 31.05.02, 31.05.03, 33.05.01, 25.03.03, 38.03.07, 44.03.05, 00.03.31</t>
  </si>
  <si>
    <t>350600.05.01</t>
  </si>
  <si>
    <t>Химическая термодинам.с Mathcad...: Уч.пос. / Д.Г.Нарышкин-М.:ИЦ РИОР, НИЦ ИНФРА-М,2023-199с.(ВО)(П)</t>
  </si>
  <si>
    <t>ХИМИЧЕСКАЯ ТЕРМОДИНАМИКА С MATHCAD. РАСЧЕТНЫЕ ЗАДАЧИ</t>
  </si>
  <si>
    <t>Нарышкин Д.Г.</t>
  </si>
  <si>
    <t>978-5-369-01479-0</t>
  </si>
  <si>
    <t>01.00.00, 04.03.02, 04.03.01, 04.04.01, 04.04.02, 04.05.01</t>
  </si>
  <si>
    <t>690326.04.01</t>
  </si>
  <si>
    <t>Химия атмосферы: Уч. / Под ред. Васильчука Ю.К. - М.:НИЦ ИНФРА-М,2024 - 214 с.(ВО)(п)</t>
  </si>
  <si>
    <t>ХИМИЯ АТМОСФЕРЫ</t>
  </si>
  <si>
    <t>Суркова Г.В.</t>
  </si>
  <si>
    <t>978-5-16-018861-4</t>
  </si>
  <si>
    <t>05.03.02, 05.03.04, 05.03.05, 05.03.06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</si>
  <si>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укрупненной группе направлений подготовки 05.03.00 «Науки о Земле» (квалификация (степень) «бакалавр») (протокол № 11 от 09.11.2020)</t>
  </si>
  <si>
    <t>278700.04.01</t>
  </si>
  <si>
    <t>Химия горючих ископаемых: Уч. / В.С. Мерчева - М.: НИЦ ИНФРА-М, 2020-336 с. (ВО:Бакалавриат) (П)</t>
  </si>
  <si>
    <t>ХИМИЯ ГОРЮЧИХ ИСКОПАЕМЫХ</t>
  </si>
  <si>
    <t>Мерчева В.С., Серебряков А.О., Серебряков О.И. и др.</t>
  </si>
  <si>
    <t>978-5-16-009812-8</t>
  </si>
  <si>
    <t>05.04.01, 21.04.01</t>
  </si>
  <si>
    <t>Допущено УМО по классическому университетскому образованию в качестве учебника для студентов, обучающихся по направлению 020700 «Геология»</t>
  </si>
  <si>
    <t>278700.05.01</t>
  </si>
  <si>
    <t>Химия горючих ископаемых: Уч. / О.И.Серебряков - 2 изд. - М.:НИЦ ИНФРА-М,2022 - 404 с.(ВО: Магистр.)(П)</t>
  </si>
  <si>
    <t>ХИМИЯ ГОРЮЧИХ ИСКОПАЕМЫХ, ИЗД.2</t>
  </si>
  <si>
    <t>Серебряков О.И., Смирнова Т.С., Мерчева В.С. и др.</t>
  </si>
  <si>
    <t>978-5-16-015577-7</t>
  </si>
  <si>
    <t>Рекомендовано Федеральным учебно-методическим объединением Минобрнауки России для магистрантов высших учебных заведений, обучающихсяпо направлению 05.04.01 «Геология»</t>
  </si>
  <si>
    <t>278100.05.01</t>
  </si>
  <si>
    <t>Химия и контроль качества эксплуатационных продуктов: Уч. / Э.А.Иртуганова - М:ИНФРА-М,2022 - 528 с. (ВО)</t>
  </si>
  <si>
    <t>ХИМИЯ И КОНТРОЛЬ КАЧЕСТВА ЭКСПЛУАТАЦИОННЫХ ПРОДУКТОВ</t>
  </si>
  <si>
    <t>Иртуганова Э.А., Гармонов С.Ю., Сопин В.Ф.</t>
  </si>
  <si>
    <t>978-5-16-005591-6</t>
  </si>
  <si>
    <t>18.03.01, 23.04.02, 23.04.03, 18.04.01, 23.03.02, 23.03.03</t>
  </si>
  <si>
    <t>Рекомендовано Государственным образовательным учреждением высшего профессионального образования «Российский химико-технологический университет им. Д.И. Менделеева» в качестве учебника для студентов вузов, обучающихся по направлению подготовки «Станда</t>
  </si>
  <si>
    <t>799528.01.01</t>
  </si>
  <si>
    <t>Химия: Уч.пос. / О.В.Демина-М.:НИЦ ИНФРА-М,2024.-257 с.(ВО (КрГАУ))(п)</t>
  </si>
  <si>
    <t>ХИМИЯ</t>
  </si>
  <si>
    <t>Демина О.В., Головнева И.И.</t>
  </si>
  <si>
    <t>978-5-16-018999-4</t>
  </si>
  <si>
    <t>35.03.03, 35.03.05, 35.03.07, 36.03.02, 35.03.04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</si>
  <si>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направлению подготовки 35.03.06 «Агроинженерия»</t>
  </si>
  <si>
    <t>407000.03.01</t>
  </si>
  <si>
    <t>Циклида Дюпена и ее приложение: Моногр. / Н.А.Сальков-М.:НИЦ ИНФРА-М,2023.-141 с.(Науч.мысль)(О)</t>
  </si>
  <si>
    <t>ЦИКЛИДА ДЮПЕНА И ЕЕ ПРИЛОЖЕНИЕ</t>
  </si>
  <si>
    <t>978-5-16-011910-6</t>
  </si>
  <si>
    <t>02.03.02, 04.03.02, 02.03.03, 03.03.02, 01.03.04, 29.04.04, 01.03.02</t>
  </si>
  <si>
    <t>416800.09.01</t>
  </si>
  <si>
    <t>Человек в биосфере: Уч.пос. / Л.Н.Ердаков-М.:НИЦ ИНФРА-М,2024.-206 с.(ВО)(п)</t>
  </si>
  <si>
    <t>ЧЕЛОВЕК В БИОСФЕРЕ</t>
  </si>
  <si>
    <t>978-5-16-019159-1</t>
  </si>
  <si>
    <t>06.03.01, 05.03.06, 06.03.02, 06.04.01, 05.04.06</t>
  </si>
  <si>
    <t>465950.07.01</t>
  </si>
  <si>
    <t>Численные методы в матем. моделир.: Уч.пос. / Н.П.Савенкова - 2 изд.-М.:НИЦ ИНФРА-М,2023.-176 с.(о)</t>
  </si>
  <si>
    <t>ЧИСЛЕННЫЕ МЕТОДЫ В МАТЕМАТИЧЕСКОМ МОДЕЛИРОВАНИИ, ИЗД.2</t>
  </si>
  <si>
    <t>Савенкова Н.П., Проворова О.Г., Мокин А.Ю.</t>
  </si>
  <si>
    <t>978-5-16-018743-3</t>
  </si>
  <si>
    <t>02.03.03, 03.03.02, 01.03.04, 02.04.03, 09.04.03</t>
  </si>
  <si>
    <t>Допущено УМО по классическому университетскому образованию в качестве учебного пособия для студентов высших учебных заведений, обучающихся по направлениям ВО 01.03.04 «Прикладная математика» и 02.03.02 «Фундаментальная информатика и информационные технологии»</t>
  </si>
  <si>
    <t>688829.01.01</t>
  </si>
  <si>
    <t>Численные методы в строительстве: Моногр. / В.Т.Чемодуров.-М.:НИЦ ИНФРА-М,2019.-151 с(Науч.мысль)(О)</t>
  </si>
  <si>
    <t>ЧИСЛЕННЫЕ МЕТОДЫ В СТРОИТЕЛЬСТВЕ</t>
  </si>
  <si>
    <t>Чемодуров В.Т., Литвинова Э.В., Сеитжелилов М.С.</t>
  </si>
  <si>
    <t>978-5-16-014363-7</t>
  </si>
  <si>
    <t>08.03.01, 08.04.01</t>
  </si>
  <si>
    <t>753321.02.01</t>
  </si>
  <si>
    <t>Численные методы линейной алгебры: Уч.пос. / Г.С.Шевцов - 3 изд.-М.:Магистр, НИЦ ИНФРА-М,2022.-528 с.(П)</t>
  </si>
  <si>
    <t>ЧИСЛЕННЫЕ МЕТОДЫ ЛИНЕЙНОЙ АЛГЕБРЫ, ИЗД.3</t>
  </si>
  <si>
    <t>Шевцов Г.С., Крюкова О.Г., Мызникова Б.И.</t>
  </si>
  <si>
    <t>978-5-9776-0489-5</t>
  </si>
  <si>
    <t>02.03.02, 04.03.02, 02.03.03, 03.03.02, 03.03.03, 01.03.03, 01.03.04, 24.03.01, 01.03.01, 02.03.01, 01.03.02, 38.03.01</t>
  </si>
  <si>
    <t>635935.03.01</t>
  </si>
  <si>
    <t>Численные методы. Практикум: Уч.пос. / А.В.Пантелеев - М.:НИЦ ИНФРА-М,2023 - 512 с.(ВО)(П)</t>
  </si>
  <si>
    <t>ЧИСЛЕННЫЕ МЕТОДЫ. ПРАКТИКУМ</t>
  </si>
  <si>
    <t>Пантелеев А.В., Кудрявцева И.А.</t>
  </si>
  <si>
    <t>978-5-16-018445-6</t>
  </si>
  <si>
    <t>02.03.02, 04.03.02, 02.03.03, 03.03.02, 03.03.03, 01.03.03, 01.03.04, 26.04.01, 01.03.01, 02.03.01, 01.03.02</t>
  </si>
  <si>
    <t>Рекомендовано Редакционно-издательским советом Московского авиационного института (национального исследовательского университета) в качестве учебного пособия</t>
  </si>
  <si>
    <t>670833.01.01</t>
  </si>
  <si>
    <t>Численные методы: Уч.пос. / А.С.Шевченко - М.:НИЦ ИНФРА-М,2022 - 381 с.(ВО: Бакалавриат)(П)</t>
  </si>
  <si>
    <t>ЧИСЛЕННЫЕ МЕТОДЫ</t>
  </si>
  <si>
    <t>Шевченко А.С.</t>
  </si>
  <si>
    <t>978-5-16-014605-8</t>
  </si>
  <si>
    <t>02.03.02, 04.03.02, 02.03.03, 03.03.02, 03.03.03, 01.03.03, 01.03.04, 12.03.01, 01.05.01, 21.05.04, 01.03.01, 02.03.01, 01.03.02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</si>
  <si>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математическим, естественным и техническим направлениям подготовки (квалификация (степень) «бакалавр») (протокол № 6 от 16.06.2021)</t>
  </si>
  <si>
    <t>Алтайский государственный технический университет им. И.И. Ползунова, ф-л Рубцовский индустриальный</t>
  </si>
  <si>
    <t>458650.05.01</t>
  </si>
  <si>
    <t>Эволюция Вселенной и жизни: Уч.пос. / Е.К.Еськов - М.:НИЦ ИНФРА-М,2021 - 416 с.-(ВО: Бакалавриат)(П)</t>
  </si>
  <si>
    <t>ЭВОЛЮЦИЯ ВСЕЛЕННОЙ И ЖИЗНИ</t>
  </si>
  <si>
    <t>978-5-16-009419-9</t>
  </si>
  <si>
    <t>06.03.01, 06.04.01, 44.03.01, 44.03.05</t>
  </si>
  <si>
    <t>Допущено чебно-методическим объединением по классическому университетскому образованию в качестве учебного пособия для студентов высших учебных заведений, обучающихся по направлению 020400 «Биология» (решение № 088-4/72-13 от 13.06.13)</t>
  </si>
  <si>
    <t>229700.04.01</t>
  </si>
  <si>
    <t>Эволюция теории химич.строения вещества А.М.Бутлерова..: Моногр. / О.С.Сироткин-ИНФРА-М,2020-247с(о)</t>
  </si>
  <si>
    <t>ЭВОЛЮЦИЯ ТЕОРИИ ХИМИЧЕСКОГО СТРОЕНИЯ ВЕЩЕСТВА А.М. БУТЛЕРОВА В УНИТАРНУЮ ТЕОРИЮ СТРОЕНИЯ ХИМИЧЕСКИХ СОЕДИНЕНИЙ (ОСНОВЫ ЕДИНОЙ ХИМИИ)</t>
  </si>
  <si>
    <t>Сироткин О. С.</t>
  </si>
  <si>
    <t>978-5-16-009053-5</t>
  </si>
  <si>
    <t>04.03.02, 04.03.01</t>
  </si>
  <si>
    <t>Казанский государственный энергетический университет</t>
  </si>
  <si>
    <t>450700.06.01</t>
  </si>
  <si>
    <t>Экодиагностика и сбалансир. разв.: Уч. пос. / Б.И.Кочуров - 2 изд. - М.:НИЦ ИНФРА-М,2023 -362 с. (п)</t>
  </si>
  <si>
    <t>ЭКОДИАГНОСТИКА И СБАЛАНСИРОВАННОЕ РАЗВИТИЕ, ИЗД.2</t>
  </si>
  <si>
    <t>Кочуров Б.И.</t>
  </si>
  <si>
    <t>978-5-16-011445-3</t>
  </si>
  <si>
    <t>Рекомендовано Учебно-методическим объединением по специальностям педагогического образования в качестве учебного пособия для студентов высших учебных заведений, обучающихся по специальности 05.03.02 «География»</t>
  </si>
  <si>
    <t>Институт географии Российской академии наук</t>
  </si>
  <si>
    <t>641623.01.98</t>
  </si>
  <si>
    <t>Экодиагностика этноприродных процессов ..: Моногр./Под ред.Кочурова Б.И.-М.:НИЦ ИНФРА-М,2017-201с(п)</t>
  </si>
  <si>
    <t>ЭКОДИАГНОСТИКА ЭТНОПРИРОДНЫХ ПРОЦЕССОВ ЕВРОПЕЙСКОГО РЕГИОНА РОССИИ</t>
  </si>
  <si>
    <t>Меркулов П.И., Кочуров Б.И., Меркулова С.В. и др.</t>
  </si>
  <si>
    <t>978-5-16-012336-3</t>
  </si>
  <si>
    <t>05.03.02, 05.03.06, 05.04.02, 05.04.06, 51.03.04</t>
  </si>
  <si>
    <t>Национальный исследовательский Мордовский государственный университет им. Н.П. Огарева</t>
  </si>
  <si>
    <t>633416.03.01</t>
  </si>
  <si>
    <t>Экологическая безоп.морских природно-хоз.систем..:Моногр./ В.М.Питулько-М.:НИЦ ИНФРА-М,2023-317с.(П)</t>
  </si>
  <si>
    <t>ЭКОЛОГИЧЕСКАЯ БЕЗОПАСНОСТЬ МОРСКИХ ПРИРОДНО-ХОЗЯЙСТВЕННЫХ СИСТЕМ РОССИЙСКОЙ ПРИБАЛТИКИ</t>
  </si>
  <si>
    <t>Питулько В.М., Иванова В.В., Кулибаба В.В.</t>
  </si>
  <si>
    <t>978-5-16-012066-9</t>
  </si>
  <si>
    <t>05.03.06, 06.04.01, 05.04.05</t>
  </si>
  <si>
    <t>469900.05.01</t>
  </si>
  <si>
    <t>Экологическая безоп.на предпр.легкой промышл.: Уч.пос. /О.Г.Любская-М.:НИЦ ИНФРА-М,2023-158с.(ВО)(о)</t>
  </si>
  <si>
    <t>ЭКОЛОГИЧЕСКАЯ БЕЗОПАСНОСТЬ НА ПРЕДПРИЯТИЯХ ЛЕГКОЙ ПРОМЫШЛЕННОСТИ</t>
  </si>
  <si>
    <t>Любская О.Г., Свищев Г.А., Седляров О.И.</t>
  </si>
  <si>
    <t>978-5-16-010684-7</t>
  </si>
  <si>
    <t>Рекомендовано УМО по образованию в области технологии, конструирования изделий легкой промышленности в качестве учебного пособия для студентов высших учебных заведений, обучающихся по направлениям подготовки бакалавров и магистров 20.03.01 и 20.04.01 « Техносферная безопасность»</t>
  </si>
  <si>
    <t>677848.02.01</t>
  </si>
  <si>
    <t>Экологическая геология: Уч. / А.О.Серебряков - М.:НИЦ ИНФРА-М,2021 - 235 с.(ВО: Бакалавр.)(П)</t>
  </si>
  <si>
    <t>ЭКОЛОГИЧЕСКАЯ ГЕОЛОГИЯ</t>
  </si>
  <si>
    <t>Серебряков А.О.</t>
  </si>
  <si>
    <t>978-5-16-014230-2</t>
  </si>
  <si>
    <t>Рекомендовано Федеральным учебно-методическим объединением Минобрнауки России для бакалавров высших учебных заведений, обучающихся по направлению 05.03.01 «Геология»</t>
  </si>
  <si>
    <t>363200.04.01</t>
  </si>
  <si>
    <t>Экологическая и продов.безопасность: Уч.пос./Р.И.Айзман-М.:НИЦ ИНФРА-М,2024-240с.(ВО:Бакалавр.)(п)</t>
  </si>
  <si>
    <t>ЭКОЛОГИЧЕСКАЯ И ПРОДОВОЛЬСТВЕННАЯ БЕЗОПАСНОСТЬ</t>
  </si>
  <si>
    <t>Айзман Р.И., Иашвили М.В., Петров С.В. и др.</t>
  </si>
  <si>
    <t>978-5-16-010973-2</t>
  </si>
  <si>
    <t>19.03.04</t>
  </si>
  <si>
    <t>Рекомендовано УМО по образованию в области подготовки педагогических кадров в качестве учебного пособия для студентов высших учебных заведений</t>
  </si>
  <si>
    <t>474150.07.01</t>
  </si>
  <si>
    <t>Экологическая токсикология и биотестирование вод..: Уч.пос./С.В.Котелевцев-НИЦ ИНФРА-М,2023-252с.(ВО)</t>
  </si>
  <si>
    <t>ЭКОЛОГИЧЕСКАЯ ТОКСИКОЛОГИЯ И БИОТЕСТИРОВАНИЕ ВОДНЫХ ЭКОСИСТЕМ</t>
  </si>
  <si>
    <t>С.В.Котелевцев, Д.Н.Маторин, А.П.Садчиков</t>
  </si>
  <si>
    <t>978-5-16-010160-6</t>
  </si>
  <si>
    <t>Допущено Учебно-методическим объединением по классическому университетскому образованию в качестве учебного пособия для студентов высших учебних заведений, обучающихся по направлению 06.03.01 «Биология» и смежным направлениям</t>
  </si>
  <si>
    <t>Московский государственный университет им. М.В. Ломоносова, биологический факультет</t>
  </si>
  <si>
    <t>703673.02.01</t>
  </si>
  <si>
    <t>Экологическая эпидемиология и оценка риска: Уч. / В.В.Стрельников-М.:НИЦ ИНФРА-М,2023.-320 с.(ВО)(П)</t>
  </si>
  <si>
    <t>ЭКОЛОГИЧЕСКАЯ ЭПИДЕМИОЛОГИЯ И ОЦЕНКА РИСКА</t>
  </si>
  <si>
    <t>Стрельников В.В., Хмара И.В.</t>
  </si>
  <si>
    <t>978-5-16-015167-0</t>
  </si>
  <si>
    <t>05.03.06, 31.05.01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</si>
  <si>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05.03.06 «Экология и природопользование» (квалификация (степень) «бакалавр») (протокол № 10 от 12.10.2020)</t>
  </si>
  <si>
    <t>084040.18.01</t>
  </si>
  <si>
    <t>Экологические основы природопольз.: Уч.пос. / Е.К.Хандогина-2изд.-М.:Форум, НИЦ ИНФРА-М,2024-160с.(СПО)(о)</t>
  </si>
  <si>
    <t>ЭКОЛОГИЧЕСКИЕ ОСНОВЫ ПРИРОДОПОЛЬЗОВАНИЯ, ИЗД.2</t>
  </si>
  <si>
    <t>Хандогина Е.К., Герасимова Н.А., Хандогина А.В. и др.</t>
  </si>
  <si>
    <t>978-5-00091-475-5</t>
  </si>
  <si>
    <t>21.02.12, 05.02.01, 38.02.07, 00.02.36, 27.02.06, 18.02.13</t>
  </si>
  <si>
    <t>038200.22.01</t>
  </si>
  <si>
    <t>Экологические основы природопользования: Уч. / М.В.Гальперин - 2 изд.- М.:НИЦ ИНФРА-М,2024 - 256 с.(СПО)(П)</t>
  </si>
  <si>
    <t>Гальперин М.В.</t>
  </si>
  <si>
    <t>978-5-16-016287-4</t>
  </si>
  <si>
    <t>21.02.12, 26.02.04, 07.02.01, 08.02.01, 38.02.07, 00.02.36, 18.02.13</t>
  </si>
  <si>
    <t>0205</t>
  </si>
  <si>
    <t>799530.01.01</t>
  </si>
  <si>
    <t>Экологические основы природопользования: Уч.пос. / И.С.Коротченко-М.:НИЦ ИНФРА-М,2024-153с.(СПО (КрГАУ))(п)</t>
  </si>
  <si>
    <t>ЭКОЛОГИЧЕСКИЕ ОСНОВЫ ПРИРОДОПОЛЬЗОВАНИЯ</t>
  </si>
  <si>
    <t>Коротченко И.С., Романова. О.В.</t>
  </si>
  <si>
    <t>978-5-16-019009-9</t>
  </si>
  <si>
    <t>00.02.36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</si>
  <si>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качестве¶учебного пособия для студентов по специальностям 35.02.07 «Механизация сельского хозяйства», 35.02.08 «Электрификация и автоматизация сельского хозяйства», 35.02.13 «Пчеловодство», 35.02.14 «Охотоведение и звероводство»,19.02.08 «Технология мяса и мясных продуктов»</t>
  </si>
  <si>
    <t>636266.06.01</t>
  </si>
  <si>
    <t>Экологический каркас территории: Уч.пос. / Л.И.Егоренков - М.:НИЦ ИНФРА-М,2023 -73с(ВО:Бакалавр.)(О)</t>
  </si>
  <si>
    <t>ЭКОЛОГИЧЕСКИЙ КАРКАС ТЕРРИТОРИИ</t>
  </si>
  <si>
    <t>978-5-16-012954-9</t>
  </si>
  <si>
    <t>403850.11.01</t>
  </si>
  <si>
    <t>Экологический мониторинг водных объектов: Уч.пос. / И.О.Тихонова-2изд..-М.:НИЦ ИНФРА-М,2023-202 с(П)</t>
  </si>
  <si>
    <t>ЭКОЛОГИЧЕСКИЙ МОНИТОРИНГ ВОДНЫХ ОБЪЕКТОВ, ИЗД.2</t>
  </si>
  <si>
    <t>978-5-16-015959-1</t>
  </si>
  <si>
    <t>05.03.06, 20.03.01, 18.03.02, 20.03.02, 05.04.06</t>
  </si>
  <si>
    <t>Допущено Учебно-методическим объединением по образованию в области химической технологии и биотехнологии в качестве учебного пособия для студентов вузов, обучающихся по направлению «Энерго- и ресурсосберегающие процессы в химической технологии, нефтехимии и биотехнологии»</t>
  </si>
  <si>
    <t>403850.06.01</t>
  </si>
  <si>
    <t>Экологический мониторинг водных объектов: Уч.пос. /И.О.Тихонова-М.:Форум, НИЦ ИНФРА-М,2017-152с.(ВО)</t>
  </si>
  <si>
    <t>ЭКОЛОГИЧЕСКИЙ МОНИТОРИНГ ВОДНЫХ ОБЪЕКТОВ</t>
  </si>
  <si>
    <t>Тихонова И. О., Кручинина Н. Е., Десятов А. В.</t>
  </si>
  <si>
    <t>978-5-91134-666-9</t>
  </si>
  <si>
    <t>443350.09.01</t>
  </si>
  <si>
    <t>Экологический мониторинг и экологич. экспертиза: Уч.пос. / Под ред. Ясовеева М.Г.-М.:НИЦ ИНФРА-М,2023.-304с(п)</t>
  </si>
  <si>
    <t>ЭКОЛОГИЧЕСКИЙ МОНИТОРИНГ И ЭКОЛОГИЧЕСКАЯ ЭКСПЕРТИЗА</t>
  </si>
  <si>
    <t>Ясовеев М.Г., Стреха Н.Л., Какарека Э.В. и др.</t>
  </si>
  <si>
    <t>978-5-16-006845-9</t>
  </si>
  <si>
    <t>21.02.10, 05.03.06, 20.03.02, 05.04.06, 20.04.02</t>
  </si>
  <si>
    <t>Допущено Министерством образования Республики Беларусь в качестве учебного пособия для студентов учреждений высшего образования по специальности «География. Охрана природы» Рекомендовано в качестве учебного пособия для студентов высших учебных заведений, обучающихся по направлениям подготовки 05.03.06. «Экология и природопользование» и 20.03.02. «Природообустройство и водопользование» (квалификация (степень) «бакалавр»)</t>
  </si>
  <si>
    <t>658444.09.01</t>
  </si>
  <si>
    <t>Экологический мониторинг почв: Уч.пос. / И.О.Тихонова - М.:НИЦ ИНФРА-М,2023 - 106 с.(ВО)(О)</t>
  </si>
  <si>
    <t>ЭКОЛОГИЧЕСКИЙ МОНИТОРИНГ ПОЧВ</t>
  </si>
  <si>
    <t>Тихонова И.О.</t>
  </si>
  <si>
    <t>978-5-16-013155-9</t>
  </si>
  <si>
    <t>05.03.06, 20.03.01, 18.03.02, 20.03.02</t>
  </si>
  <si>
    <t>Допущено Учебно-методическим объединением по образованию в области химической технологии и биотехнологии в качестве учебного пособия для бакалавров и магистров, обучающихся по направлениям подготовки «Экология и природопользование», «Энерго- и ресурсосберегающие процессы в химической технологии, нефтехимии и биотехнологии», «Техносферная безопасность»</t>
  </si>
  <si>
    <t>703670.03.01</t>
  </si>
  <si>
    <t>Экологический мониторинг: Уч. / В.В.Стрельников - М.:НИЦ ИНФРА-М,2023 - 372 с.(ВО: Бакалавриат)(П)</t>
  </si>
  <si>
    <t>ЭКОЛОГИЧЕСКИЙ МОНИТОРИНГ</t>
  </si>
  <si>
    <t>Стрельников В.В., Мельченко А.И.</t>
  </si>
  <si>
    <t>978-5-16-015166-3</t>
  </si>
  <si>
    <t>05.03.06, 44.03.05</t>
  </si>
  <si>
    <t>720048.04.01</t>
  </si>
  <si>
    <t>Экологический мониторинг: Уч.пос. / Е.П.Лысова - М.:НИЦ ИНФРА-М,2023 - 151 с.-(ВО: Бакалавриат)(П)</t>
  </si>
  <si>
    <t>Лысова Е.П., Парамонова О.Н., Самарская Н.С. и др.</t>
  </si>
  <si>
    <t>978-5-16-015918-8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</si>
  <si>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20.03.01 «Техносферная безопасность», 05.03.06 «Экология и природопользование» (квалификация (степень) «бакалавр») (протокол № 17 от 11.11.2019)</t>
  </si>
  <si>
    <t>657184.02.01</t>
  </si>
  <si>
    <t>Экологичные системы защиты воздуш. среды объект. автотр. компл.: Уч.пос./В.А.Михайлов -М.:НИЦ ИНФРА-М,2020-178с.(ВО) (П)</t>
  </si>
  <si>
    <t>ЭКОЛОГИЧНЫЕ СИСТЕМЫ ЗАЩИТЫ ВОЗДУШНОЙ СРЕДЫ ОБЪЕКТОВ АВТОТРАНСПОРТНОГО КОМПЛЕКСА</t>
  </si>
  <si>
    <t>Михайлов В.А., Сотникова Е.В., Калпина Н.Ю.</t>
  </si>
  <si>
    <t>978-5-16-012929-7</t>
  </si>
  <si>
    <t>05.03.06, 20.03.01, 23.03.02, 23.03.03</t>
  </si>
  <si>
    <t>Допущено УМО вузов РФ по образованию в области транспортных машин и транспортно-технологических комплексов в качестве учебного пособия для студентов вузов, обучающихся по специальности «Наземные транспортно-технологические средства»</t>
  </si>
  <si>
    <t>657184.03.01</t>
  </si>
  <si>
    <t>Экологичные системы защиты воздуш. среды объект. автотр. компл.: Уч.пос./В.А.Михайлов -М.:НИЦ ИНФРА-М,2022-178с.(ВО) (П)</t>
  </si>
  <si>
    <t>ЭКОЛОГИЧНЫЕ СИСТЕМЫ ЗАЩИТЫ ВОЗДУШНОЙ СРЕДЫ ОБЪЕКТОВ АВТОТРАНСПОРТНОГО КОМПЛЕКСА, ИЗД.2</t>
  </si>
  <si>
    <t>978-5-16-016284-3</t>
  </si>
  <si>
    <t>674636.04.01</t>
  </si>
  <si>
    <t>Экология и охрана окруж.среды: законы и реалии в США..../ Л.И.Брославский - М.:НИЦ ИНФРА-М,2024.-582с/(П)</t>
  </si>
  <si>
    <t>ЭКОЛОГИЯ И ОХРАНА ОКРУЖАЮЩЕЙ СРЕДЫ: ЗАКОНЫ И РЕАЛИИ В США, РОССИИ И ЕВРОСОЮЗА</t>
  </si>
  <si>
    <t>Брославский Л.И.</t>
  </si>
  <si>
    <t>978-5-16-014110-7</t>
  </si>
  <si>
    <t>40.03.01, 05.03.06, 20.03.02, 06.04.01, 44.03.05</t>
  </si>
  <si>
    <t>799529.01.01</t>
  </si>
  <si>
    <t>Экология и рационал. природопользование: практикум: Уч.пос. / И.С.Коротченко-М.:НИЦ ИНФРА-М,2024.-164 с.(п)</t>
  </si>
  <si>
    <t>ЭКОЛОГИЯ И РАЦИОНАЛЬНОЕ ПРИРОДОПОЛЬЗОВАНИЕ: ПРАКТИКУМ</t>
  </si>
  <si>
    <t>978-5-16-019000-6</t>
  </si>
  <si>
    <t>06.03.01, 35.03.10, 35.03.07, 36.03.02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</si>
  <si>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 по направлению подготовки 35.03.07 «Технология производства и переработки сельскохозяйственной продукции»</t>
  </si>
  <si>
    <t>115600.09.01</t>
  </si>
  <si>
    <t>Экология и экологическая безоп.авто.: Уч. / М.В.Графкина- 2 изд.-М.:Форум,НИЦ ИНФРА-М, 2023-320с.(П)</t>
  </si>
  <si>
    <t>ЭКОЛОГИЯ И ЭКОЛОГИЧЕСКАЯ БЕЗОПАСНОСТЬ АВТОМОБИЛЯ, ИЗД.2</t>
  </si>
  <si>
    <t>Графкина М. В., Михайлов В. А., Иванов К. С.</t>
  </si>
  <si>
    <t>978-5-00091-117-4</t>
  </si>
  <si>
    <t>05.03.06, 15.03.02, 15.03.01, 15.03.03, 15.03.04, 15.03.06, 15.03.05, 23.03.01, 23.03.02, 23.03.03</t>
  </si>
  <si>
    <t>Допущено УМО вузов РФ по образованию в области транспортных машин и транспортно-технологических комплексов честве учебника для студентов, обучающихся по специальности «Автомобиле- и тракторостроение»</t>
  </si>
  <si>
    <t>634133.05.01</t>
  </si>
  <si>
    <t>Экология природопользования: Уч.пос. / В.П.Герасименко - М.:НИЦ ИНФРА-М,2023 - 355 с.-(ВО)(П)</t>
  </si>
  <si>
    <t>ЭКОЛОГИЯ ПРИРОДОПОЛЬЗОВАНИЯ</t>
  </si>
  <si>
    <t>Герасименко В.П.</t>
  </si>
  <si>
    <t>978-5-16-012098-0</t>
  </si>
  <si>
    <t>00.03.12, 05.03.06, 20.03.01, 20.03.02, 35.03.05, 35.03.07, 35.03.04</t>
  </si>
  <si>
    <t>Допущено Учебно-методическим объединением вузов РФ по агрономическому образованию в качестве учебного пособия для бакалавров, обучающихся по направлениям подготовки 35.03.04 «Агрономия», 35.03.05 «Садоводство», 35.03.07 «Технология производства и переработки сельскохозяйственной продукции». Рекомендовано к изданию Федеральным учебно-методическим объединением по УГСН «Техносферная безопасность и природообустройство» для студентов, обучающихся по направлению подготовки 20.03.02 «Природообустройство и водопользование»</t>
  </si>
  <si>
    <t>Курская государственная сельскохозяйственная академия им. профессора И.И. Иванова</t>
  </si>
  <si>
    <t>638070.05.01</t>
  </si>
  <si>
    <t>Экология растений: Уч. / Н.А.Березина - 2 изд. - М.:НИЦ ИНФРА-М,2023 - 408 с.-(ВО: Бакалавриат)(П)</t>
  </si>
  <si>
    <t>ЭКОЛОГИЯ РАСТЕНИЙ, ИЗД.2</t>
  </si>
  <si>
    <t>Березина Н.А., Афанасьева Н.Б.</t>
  </si>
  <si>
    <t>978-5-16-012239-7</t>
  </si>
  <si>
    <t>Допущено Учебно-методическим объединением по классическому университетскому образованию в качестве учебного пособия для студентов высших учебных заведений, обучающихся по направлению подготовки 05.03.06 «Экология и природопользование»</t>
  </si>
  <si>
    <t>Зоологический институт Российской Академии Наук</t>
  </si>
  <si>
    <t>263300.07.01</t>
  </si>
  <si>
    <t>Экология техносферы: практикум: Уч.пос. / С.А.Медведева-М.:Форум, НИЦ ИНФРА-М,2024.-200с(ВО)(П)</t>
  </si>
  <si>
    <t>ЭКОЛОГИЯ ТЕХНОСФЕРЫ: ПРАКТИКУМ</t>
  </si>
  <si>
    <t>Медведева С. А., Тимофеева С. С.</t>
  </si>
  <si>
    <t>978-5-00091-718-3</t>
  </si>
  <si>
    <t>05.03.06, 20.03.01</t>
  </si>
  <si>
    <t>Рекомендовано научно-методическим советом по экологии и природопользованию Сибирского регионального учебно-методического центра в качестве учебного пособия для студентов высших технических учебных заведений</t>
  </si>
  <si>
    <t>308700.07.01</t>
  </si>
  <si>
    <t>Экология урбаниз. территорий: Уч.пос. / Ясовеев М.Г. - М.:НИЦ ИНФРА-М, Нов.знание,2023 - 293 с.(ВО)(П)</t>
  </si>
  <si>
    <t>ЭКОЛОГИЯ УРБАНИЗИРОВАННЫХ ТЕРРИТОРИЙ</t>
  </si>
  <si>
    <t>Ясовеев М. Г., Стреха Н. Л., Пацыкайлик Д. А., Ясовеев М. Г.</t>
  </si>
  <si>
    <t>978-5-16-018518-7</t>
  </si>
  <si>
    <t>Рекомендовано в качестве учебного пособия для студентов высших учебных заведений, обучающихся по направлениям 05.03.06 "Экология и природопользование", 20.03.01 "Техносферная безопасность"</t>
  </si>
  <si>
    <t>479250.01.01</t>
  </si>
  <si>
    <t>Экология. Учебная полевая практика: Уч.пос. /В.Ф.Кулеш - М.: ИНФРА-М; Мн.:Нов. знан.,2015-332с.(ВО)</t>
  </si>
  <si>
    <t>ЭКОЛОГИЯ. УЧЕБНАЯ ПОЛЕВАЯ ПРАКТИКА</t>
  </si>
  <si>
    <t>Кулеш В.Ф., Маврищев В.В.</t>
  </si>
  <si>
    <t>978-5-16-010292-4</t>
  </si>
  <si>
    <t>05.03.01, 05.03.06, 20.03.01, 05.04.06</t>
  </si>
  <si>
    <t>318400.07.01</t>
  </si>
  <si>
    <t>Экология: Уч. / А.Д.Потапов - 2 изд. - М.:НИЦ ИНФРА-М,2024.-528 с.-(ВО: Бакалавриат)(П)</t>
  </si>
  <si>
    <t>ЭКОЛОГИЯ, ИЗД.2</t>
  </si>
  <si>
    <t>Потапов А.Д.</t>
  </si>
  <si>
    <t>978-5-16-010409-6</t>
  </si>
  <si>
    <t>00.05.12, 00.03.12, 08.03.01</t>
  </si>
  <si>
    <t>Допущено Министерством образования Российской Федерации в качестве учебника для студентов высших учебных заведений, обучающихся по направлению «Строительство»</t>
  </si>
  <si>
    <t>479600.05.01</t>
  </si>
  <si>
    <t>Экология: Уч. / В.С.Пушкарь - М.:НИЦ ИНФРА-М,2020 - 397с.(ВО:Бакалавр.)(П)</t>
  </si>
  <si>
    <t>ЭКОЛОГИЯ</t>
  </si>
  <si>
    <t>Пушкарь В.С., Якименко Л.В.</t>
  </si>
  <si>
    <t>978-5-16-011679-2</t>
  </si>
  <si>
    <t>00.05.12, 00.03.12, 06.03.01, 05.03.06</t>
  </si>
  <si>
    <t>Рекомендовано Учебно-методическим объединением по классическому университетскому образованию в качестве учебника для студентов, обучающихся по направлению 06.03.01 «Биология» и смежным направлениям</t>
  </si>
  <si>
    <t>635940.06.01</t>
  </si>
  <si>
    <t>Экология: Уч. / Н.И.Николайкин. - 9 изд. - М.:НИЦ ИНФРА-М,2023 - 615 с.-(ВО: Бакалавриат)(П)</t>
  </si>
  <si>
    <t>ЭКОЛОГИЯ, ИЗД.9</t>
  </si>
  <si>
    <t>Николайкин Н.И., Николайкина Н.Е., Мелехова О.П.</t>
  </si>
  <si>
    <t>978-5-16-012241-0</t>
  </si>
  <si>
    <t>Рекомендовано в качестве учебника для студентов высших учебных заведений, обучающихся по техническим направлениям подготовки (квалификация (степень) «бакалавр»)</t>
  </si>
  <si>
    <t>0918</t>
  </si>
  <si>
    <t>187100.13.01</t>
  </si>
  <si>
    <t>Экология: Уч.пос. / В.А.Разумов - М.:НИЦ ИНФРА-М,2024 - 296 с.-(ВО: Бакалавриат)(п)</t>
  </si>
  <si>
    <t>978-5-16-005219-9</t>
  </si>
  <si>
    <t>Допущено Научно-методическим советом по экологии Министерства образования и науки Российской Федерации в качестве учебного пособия для студентов высших учебных заведений, обучающихся по естественнонаучным и техническим направлениям подготовки</t>
  </si>
  <si>
    <t>315700.04.01</t>
  </si>
  <si>
    <t>Экология: Уч.пос. / Л.Л.Никифоров - М.:НИЦ ИНФРА-М,2019.-204 с.-(ВО: Бакалавриат)(П)</t>
  </si>
  <si>
    <t>Л.Л.Никифоров</t>
  </si>
  <si>
    <t>978-5-16-010377-8</t>
  </si>
  <si>
    <t>416900.09.01</t>
  </si>
  <si>
    <t>Экология: Уч.пос. / Л.Н.Ердаков - М.:НИЦ ИНФРА-М,2024 - 360 с.-(ВО: Магистратура)(П)</t>
  </si>
  <si>
    <t>Ердаков Л. Н., Чернышова О. Н.</t>
  </si>
  <si>
    <t>978-5-16-006248-8</t>
  </si>
  <si>
    <t>00.03.12, 44.03.05</t>
  </si>
  <si>
    <t>Рекомендовано Учебно-методическим объединением вузов России по образованию в области менеджмента в качестве учебного пособия для студентов высших учебных заведений, обучающихся по направлению 38.04.02 «Менеджмент» (квалификация (степень) «магистр»)</t>
  </si>
  <si>
    <t>479700.04.01</t>
  </si>
  <si>
    <t>Эколого-энергетический анализ экосистем: Моногр./ Б.И.Кочуров-М.:НИЦ ИНФРА-М,2020-144с(О)</t>
  </si>
  <si>
    <t>ЭКОЛОГО-ЭНЕРГЕТИЧЕСКИЙ АНАЛИЗ ЭКОСИСТЕМ</t>
  </si>
  <si>
    <t>Кочуров Б.И., Марунич Н.А.</t>
  </si>
  <si>
    <t>978-5-16-011680-8</t>
  </si>
  <si>
    <t>06.03.01, 05.03.06, 44.03.05</t>
  </si>
  <si>
    <t>299100.07.01</t>
  </si>
  <si>
    <t>Эконометрика - 2: продв. курс с прилож. в финансах: Уч. /С.А.Айвазян-М.: Магистр,НИЦ ИНФРА-М, 2024-944с(п)</t>
  </si>
  <si>
    <t>ЭКОНОМЕТРИКА - 2: ПРОДВИНУТЫЙ КУРС С ПРИЛОЖЕНИЯМИ В ФИНАНСАХ</t>
  </si>
  <si>
    <t>Айвазян С.А., Фантаццини Д.</t>
  </si>
  <si>
    <t>978-5-9776-0333-1</t>
  </si>
  <si>
    <t>02.03.02, 04.03.02, 03.03.02, 01.04.02, 38.04.01, 38.04.08, 01.03.02, 38.03.01</t>
  </si>
  <si>
    <t>658350.03.01</t>
  </si>
  <si>
    <t>Эконометрика и эконом.моделирование: Уч. / Л.О.Бабешко - М.:Вуз.уч., НИЦ ИНФРА-М,2019 - 385с(ВО)(П)</t>
  </si>
  <si>
    <t>ЭКОНОМЕТРИКА И ЭКОНОМЕТРИЧЕСКОЕ  МОДЕЛИРОВАНИЕ</t>
  </si>
  <si>
    <t>Бабешко Л.О., Бич М.Г., Орлова И.В.</t>
  </si>
  <si>
    <t>978-5-9558-0576-4</t>
  </si>
  <si>
    <t>38.04.01, 38.04.02, 38.04.05, 38.05.01, 01.03.02, 38.03.01, 38.03.05, 38.03.02</t>
  </si>
  <si>
    <t>724743.06.01</t>
  </si>
  <si>
    <t>Эконометрика и эконометрич. моделир. в Excel и R: Уч. / Л.О.Бабешко - М.:НИЦ ИНФРА-М,2023 - 300 с.(ВО)(П)</t>
  </si>
  <si>
    <t>ЭКОНОМЕТРИКА И ЭКОНОМЕТРИЧЕСКОЕ МОДЕЛИРОВАНИЕ В EXCEL И R</t>
  </si>
  <si>
    <t>Бабешко Л.О., Орлова И.В.</t>
  </si>
  <si>
    <t>978-5-16-016059-7</t>
  </si>
  <si>
    <t>38.04.09, 38.04.07, 01.04.02, 38.04.01, 38.04.08, 38.04.06, 38.04.02, 38.04.03, 38.04.04, 38.04.05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</si>
  <si>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 по направлениям подготовки 38.04.00 «Экономика и управление»  (квалификация (степень) «магистр») (протокол № 8 от 22.06.2020)</t>
  </si>
  <si>
    <t>658350.06.01</t>
  </si>
  <si>
    <t>Эконометрика и эконометрич. моделир.: Уч. / Л.О.Бабешко - 2 изд.-М.:НИЦ ИНФРА-М,2023.-387 с.(ВО)(П)</t>
  </si>
  <si>
    <t>ЭКОНОМЕТРИКА И ЭКОНОМЕТРИЧЕСКОЕ МОДЕЛИРОВАНИЕ, ИЗД.2</t>
  </si>
  <si>
    <t>978-5-16-018722-8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</si>
  <si>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экономическим направлениям подготовки (квалификация (степень) «бакалавр», «магистр») (протокол № 10 от 12.10.2020)</t>
  </si>
  <si>
    <t>254300.08.01</t>
  </si>
  <si>
    <t>Эконометрика. Практикум: Уч.пос. / С.А. Бородич.- М:ИНФРА-М; Мн.: Нов. знание, 2024.- 329с.-(ВО.Бак.)</t>
  </si>
  <si>
    <t>ЭКОНОМЕТРИКА. ПРАКТИКУМ</t>
  </si>
  <si>
    <t>Бородич С. А.</t>
  </si>
  <si>
    <t>978-5-16-009429-8</t>
  </si>
  <si>
    <t>164100.10.01</t>
  </si>
  <si>
    <t>Эконометрика: теоретические основы: Уч.пос./Г.А.Соколов-М.:НИЦ ИНФРА-М,2024-216с(ВО: Бакалавриат)(о)</t>
  </si>
  <si>
    <t>ЭКОНОМЕТРИКА: ТЕОРЕТИЧЕСКИЕ ОСНОВЫ</t>
  </si>
  <si>
    <t>978-5-16-010851-3</t>
  </si>
  <si>
    <t>38.02.04, 38.02.05, 09.02.03, 40.02.01, 39.02.01, 31.02.03, 38.02.07, 38.02.01, 38.02.03, 38.04.09, 38.04.07, 38.04.01, 38.04.08, 38.04.06, 38.04.02, 38.04.03, 38.04.04, 38.04.05, 38.05.01, 38.05.02, 38.06.01, 38.07.02, 38.03.01, 38.03.05, 38.03.06, 38.03.07, 38.03.02, 38.03.04, 38.03.03</t>
  </si>
  <si>
    <t>Рекомендовано Учебно-методическим объединением по образованию в области статистики и антикризисного управления в качестве учебного пособия для магистров и аспирантов высших учебных заведений, обучающихся по направлению 38.03.01 «Экономика» и другим экономическим направлениям</t>
  </si>
  <si>
    <t>655202.02.01</t>
  </si>
  <si>
    <t>Эконометрика: теория и практика: Уч.пос. / Л.И.Ниворожкина-М.:ИЦ РИОР, НИЦ ИНФРА-М,2020-207с.(ВО)(О)</t>
  </si>
  <si>
    <t>ЭКОНОМЕТРИКА: ТЕОРИЯ И ПРАКТИКА</t>
  </si>
  <si>
    <t>Ниворожкина Л.И., Арженовский С.В., Кокина Е.П.</t>
  </si>
  <si>
    <t>978-5-369-01698-5</t>
  </si>
  <si>
    <t>38.04.01, 38.04.06, 38.04.02, 38.04.05, 38.03.01, 38.03.05, 38.03.06, 38.03.02</t>
  </si>
  <si>
    <t>Ростовский государственный экономический университет (РИНХ), ф-л в г. Миллерово</t>
  </si>
  <si>
    <t>046290.15.01</t>
  </si>
  <si>
    <t>Эконометрика: Уч. пос./А.И.Новиков - 3 изд. - М.:НИЦ ИНФРА-М,2023.-272 с.(ВО: Бакалавриат)(о)</t>
  </si>
  <si>
    <t>ЭКОНОМЕТРИКА, ИЗД.3</t>
  </si>
  <si>
    <t>Новиков А.И.</t>
  </si>
  <si>
    <t>978-5-16-004634-1</t>
  </si>
  <si>
    <t>Российский университет кооперации</t>
  </si>
  <si>
    <t>066950.09.01</t>
  </si>
  <si>
    <t>Эконометрика: Уч.пос. / Л.Е.Басовский - М.:ИЦ РИОР, НИЦ ИНФРА-М,2023  -48 с(Карманное уч.пособие)(О)</t>
  </si>
  <si>
    <t>ЭКОНОМЕТРИКА</t>
  </si>
  <si>
    <t>978-5-369-01569-8</t>
  </si>
  <si>
    <t>38.04.09, 38.04.07, 38.04.01, 38.04.08, 38.04.06, 38.04.02, 38.04.03, 38.04.04, 38.04.05, 38.05.01, 38.05.02, 38.03.01, 38.03.05, 38.03.06, 38.03.07, 38.03.02, 38.03.04, 38.03.03, 41.03.06</t>
  </si>
  <si>
    <t>078470.05.01</t>
  </si>
  <si>
    <t>Эконометрика: Шпаргалка - М.:ИЦ РИОР, НИЦ ИНФРА-М,2018 - 65 с.-(Шпаргалка [отр.])(О)</t>
  </si>
  <si>
    <t>978-5-369-00696-2</t>
  </si>
  <si>
    <t>676795.03.01</t>
  </si>
  <si>
    <t>Эконометрическая методология исслед. сис.: Уч. / Е.В.Орлова, - 2 изд.-М.:НИЦ ИНФРА-М,2023.-221 с.(ВО)(П)</t>
  </si>
  <si>
    <t>ЭКОНОМЕТРИЧЕСКАЯ МЕТОДОЛОГИЯ ИССЛЕДОВАНИЯ СИСТЕМ, ИЗД.2</t>
  </si>
  <si>
    <t>Орлова Е.В.</t>
  </si>
  <si>
    <t>978-5-16-016405-2</t>
  </si>
  <si>
    <t>40.02.01, 40.03.01, 38.03.01, 38.03.05, 38.03.06, 38.03.07, 38.03.02, 38.03.04, 38.03.03</t>
  </si>
  <si>
    <t>Рекомендовано Учебно-методическим советом ВО в качестве учебника для студентов высших учебных заведений, обучающихся по укрупненной группе специальностей и направлений 38.00.00 «Экономика и управление» (квалификация (степень) «бакалавр»)</t>
  </si>
  <si>
    <t>Уфимский Университет Науки и Технологий</t>
  </si>
  <si>
    <t>676795.01.01</t>
  </si>
  <si>
    <t>Эконометрическая методология исслед. систем: Уч./Е.В.Орлова-М.:НИЦ ИНФРА-М,2019-216(ВО:Бакалавр.)(П)</t>
  </si>
  <si>
    <t>ЭКОНОМЕТРИЧЕСКАЯ МЕТОДОЛОГИЯ ИССЛЕДОВАНИЯ СИСТЕМ</t>
  </si>
  <si>
    <t>978-5-16-013616-5</t>
  </si>
  <si>
    <t>757883.01.01</t>
  </si>
  <si>
    <t>Эконометрическое моделир. в пакете GRETL: Уч.пос. / А.И.Новиков-М.:НИЦ ИНФРА-М,2023.-236 с.(ВО)(п)</t>
  </si>
  <si>
    <t>ЭКОНОМЕТРИЧЕСКОЕ МОДЕЛИРОВАНИЕ В ПАКЕТЕ GRETL</t>
  </si>
  <si>
    <t>Новиков А.И., Солодкая Т.И.</t>
  </si>
  <si>
    <t>978-5-16-017097-8</t>
  </si>
  <si>
    <t>38.04.10, 38.04.01, 38.04.08, 38.05.01, 38.05.02, 38.03.01, 38.03.05, 38.03.06, 38.03.07, 38.03.02, 38.03.04, 38.03.03</t>
  </si>
  <si>
    <t>085690.17.01</t>
  </si>
  <si>
    <t>Экономико-матем. методы и модели..: Уч. пос./И.В.Орлова - 3 изд.-Вуз. уч.:ИНФРА-М,2024-389с. (п)</t>
  </si>
  <si>
    <t>ЭКОНОМИКО-МАТЕМАТИЧЕСКИЕ МЕТОДЫ И МОДЕЛИ: КОМПЬЮТЕРНОЕ МОДЕЛИРОВАНИЕ, ИЗД.3</t>
  </si>
  <si>
    <t>Орлова И. В., Половников В. А.</t>
  </si>
  <si>
    <t>978-5-9558-0208-4</t>
  </si>
  <si>
    <t>Допущено Учебно-методическим объединением по образованию в области статистики в качестве учебного пособия для студентов высших учебных заведений, обучающихся по экономическим направлениям</t>
  </si>
  <si>
    <t>050950.16.01</t>
  </si>
  <si>
    <t>Экономико-матем. моделирование.: Практ.пос. / И.В.Орлова, - 3 изд.-М.:Вуз.уч., НИЦ ИНФРА-М,2023-190с</t>
  </si>
  <si>
    <t>ЭКОНОМИКО-МАТЕМАТИЧЕСКОЕ МОДЕЛИРОВАНИЕ, ИЗД.3</t>
  </si>
  <si>
    <t>Орлова И.В., Бич М.Г.</t>
  </si>
  <si>
    <t>978-5-9558-0527-6</t>
  </si>
  <si>
    <t>38.04.09, 38.04.07, 38.04.01, 38.04.08, 38.04.06, 38.04.02, 38.04.03, 38.04.04, 38.04.05, 38.05.01, 38.05.02, 21.03.02, 38.03.01, 38.03.05, 38.03.06, 38.03.07, 38.03.02, 38.03.04, 38.03.03, 41.03.06</t>
  </si>
  <si>
    <t>445750.08.01</t>
  </si>
  <si>
    <t>Экономико-матем.методы в примерах...: Уч.пос. / Под ред.Гармаша А.Н. - М.:Вуз.уч.,НИЦ ИНФРА-М,2024 - 416с(П)</t>
  </si>
  <si>
    <t>ЭКОНОМИКО-МАТЕМАТИЧЕСКИЕ МЕТОДЫ В ПРИМЕРАХ И ЗАДАЧАХ</t>
  </si>
  <si>
    <t>Гармаш А.Н., Орлова И.В., Концевая Н.В. и др.</t>
  </si>
  <si>
    <t>978-5-9558-0322-7</t>
  </si>
  <si>
    <t>Рекомендовано Учебно-методическим объединением по образованию в области математических методов в экономике в качестве учебного пособия для студентов высших учебных заведений, обучающихся по направлению «Математические методы в экономике» и другим эко</t>
  </si>
  <si>
    <t>430100.06.01</t>
  </si>
  <si>
    <t>Экономико-математические методы и модели: Уч. пос./Р.Ш.Хуснутдинов - М.: НИЦ ИНФРА-М, 2023-224с.(ВО) (п)</t>
  </si>
  <si>
    <t>ЭКОНОМИКО-МАТЕМАТИЧЕСКИЕ МЕТОДЫ И МОДЕЛИ</t>
  </si>
  <si>
    <t>978-5-16-005313-4</t>
  </si>
  <si>
    <t>38.04.01, 38.04.02, 21.03.02, 38.03.01, 38.03.02</t>
  </si>
  <si>
    <t>Рекомендовано ФБГОУ ВПО «Государственный университет управления» в качестве учебного пособия для студентов высших учебных заведений, обучающихся по специальности 080116 «Математические методы в экономике»</t>
  </si>
  <si>
    <t>645725.01.01</t>
  </si>
  <si>
    <t>Экономико-математическое и экономет.моделирование: Уч.пос. / В.Ф.Колпаков-М.:НИЦ ИНФРА-М,2017-396с.</t>
  </si>
  <si>
    <t>ЭКОНОМИКО-МАТЕМАТИЧЕСКОЕ И ЭКОНОМЕТРИЧЕСКОЕ МОДЕЛИРОВАНИЕ: КОМПЬЮТЕРНЫЙ ПРАКТИКУМ</t>
  </si>
  <si>
    <t>Колпаков В.Ф.</t>
  </si>
  <si>
    <t>978-5-16-010967-1</t>
  </si>
  <si>
    <t>Рекомендовано в качестве учебного пособия для студентов высших учебных заведений,обучающихся по направлениям подготовки 38.03.01 «Экономика», 38.03.02 «Менеджмент» (квалификация (степень) «бакалавр»)</t>
  </si>
  <si>
    <t>Московский государственный психолого-педагогический университет</t>
  </si>
  <si>
    <t>177700.07.01</t>
  </si>
  <si>
    <t>Экономическая синергетика: Уч. / Н.А. Логинова. - М.: НИЦ Инфра-М, 2022. - 128 с.(ВО: Бакалавриат) (п)</t>
  </si>
  <si>
    <t>ЭКОНОМИЧЕСКАЯ СИНЕРГЕТИКА</t>
  </si>
  <si>
    <t>Логинова Н. А.</t>
  </si>
  <si>
    <t>978-5-16-005436-0</t>
  </si>
  <si>
    <t>38.04.02</t>
  </si>
  <si>
    <t>Допущено УМО по образованию в области производственного менеджмента в качестве учебника для студентов высших учебных заведений, обучающихся по направлению подготовки 080200 "Менеджмент" по магисторской программе "Менеджмент мультимодальных перевозок"</t>
  </si>
  <si>
    <t>388300.04.01</t>
  </si>
  <si>
    <t>Экстремальные задачи дискретной математики: Уч./С.А.Канцедал - М.:ИД ФОРУМ, НИЦ ИНФРА-М,2023.-304 с..-(ВО)(П)</t>
  </si>
  <si>
    <t>ЭКСТРЕМАЛЬНЫЕ ЗАДАЧИ ДИСКРЕТНОЙ МАТЕМАТИКИ</t>
  </si>
  <si>
    <t>С.А.Канцедал</t>
  </si>
  <si>
    <t>978-5-8199-0633-0</t>
  </si>
  <si>
    <t>03.03.01, 03.03.02, 01.03.04, 01.04.04, 01.04.01, 02.04.01, 01.04.02, 03.04.01, 01.03.01, 02.03.01, 01.03.02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</si>
  <si>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учебника для студентов высших учебных заведений, обучающихся по техническим специальностям</t>
  </si>
  <si>
    <t>440450.05.01</t>
  </si>
  <si>
    <t>Электродинамика: Уч.пос. / И.И.Каликинский, - 3-е изд.-М.:НИЦ ИНФРА-М,2023.-159 с..(ВО:Магистр)(п)</t>
  </si>
  <si>
    <t>ЭЛЕКТРОДИНАМИКА, ИЗД.3</t>
  </si>
  <si>
    <t>Каликинский И. И.</t>
  </si>
  <si>
    <t>978-5-16-006771-1</t>
  </si>
  <si>
    <t>03.03.02, 11.03.01, 03.04.02, 04.04.02, 03.04.03</t>
  </si>
  <si>
    <t>424250.04.01</t>
  </si>
  <si>
    <t>Электромагнитные поля и волны: Уч. пос. / А.В.Стрекалов-М.:ИЦ РИОР, НИЦ ИНФРА-М,2023.-375 с(ВО)(п)</t>
  </si>
  <si>
    <t>ЭЛЕКТРОМАГНИТНЫЕ ПОЛЯ И ВОЛНЫ</t>
  </si>
  <si>
    <t>Стрекалов А.В., Стрекалов Ю.А.</t>
  </si>
  <si>
    <t>978-5-369-01181-2</t>
  </si>
  <si>
    <t>Рекомендовано УМО по образованию в области телекоммуникаций в качестве учебного пособия для студентов высших учебных заведений, обучающихся по направлению подготовки дипломированных специалистов 210400(654400) Телекоммуникации</t>
  </si>
  <si>
    <t>316500.07.01</t>
  </si>
  <si>
    <t>Элементы квантовой механики и физики атомного ядра: Уч. пос./А.Г.Браун-М.:НИЦ ИНФРА-М,2024.-84 с.(ВО)(О)</t>
  </si>
  <si>
    <t>ЭЛЕМЕНТЫ КВАНТОВОЙ МЕХАНИКИ И ФИЗИКИ АТОМНОГО ЯДРА, ИЗД.2</t>
  </si>
  <si>
    <t>А.Г.Браун, И.Г.Левитина</t>
  </si>
  <si>
    <t>978-5-16-010384-6</t>
  </si>
  <si>
    <t>670065.03.01</t>
  </si>
  <si>
    <t>Энергетическая напр. развит. жизни на планете Земля..:Моногр. / Н.С.Печуркин-М:НИЦ ИНФРА-М,СФУ,2022-405с(П)</t>
  </si>
  <si>
    <t>ЭНЕРГЕТИЧЕСКАЯ НАПРАВЛЕННОСТЬ РАЗВИТИЯ ЖИЗНИ НА ПЛАНЕТЕ ЗЕМЛЯ (ЭНЕРГИЯ И ЖИЗНЬ НА ЗЕМЛЕ)</t>
  </si>
  <si>
    <t>Печуркин Н.С.</t>
  </si>
  <si>
    <t>978-5-16-017945-2</t>
  </si>
  <si>
    <t>06.04.01, 06.06.01</t>
  </si>
  <si>
    <t>00.00.00</t>
  </si>
  <si>
    <t>ОБЩИЕ ДИСЦИПЛИНЫ ДЛЯ ВСЕХ СПЕЦИАЛЬНОСТЕЙ</t>
  </si>
  <si>
    <t>00.01.01</t>
  </si>
  <si>
    <t>Безопасность жизнедеятельности</t>
  </si>
  <si>
    <t>00.02.01</t>
  </si>
  <si>
    <t>Математика</t>
  </si>
  <si>
    <t>Астрономия</t>
  </si>
  <si>
    <t>00.02.19</t>
  </si>
  <si>
    <t>География</t>
  </si>
  <si>
    <t>00.02.20</t>
  </si>
  <si>
    <t>Естествознание</t>
  </si>
  <si>
    <t>Физика</t>
  </si>
  <si>
    <t>Инженерная графика / Инженерная и компьютерная графика</t>
  </si>
  <si>
    <t>Экологические основы природопользования</t>
  </si>
  <si>
    <t>Экология</t>
  </si>
  <si>
    <t>00.03.03</t>
  </si>
  <si>
    <t>Информатика</t>
  </si>
  <si>
    <t>00.03.06</t>
  </si>
  <si>
    <t>00.03.12</t>
  </si>
  <si>
    <t>00.03.13</t>
  </si>
  <si>
    <t>Экономика</t>
  </si>
  <si>
    <t>00.03.14</t>
  </si>
  <si>
    <t>Физическая культура</t>
  </si>
  <si>
    <t>00.03.16</t>
  </si>
  <si>
    <t>Основы научных исследований</t>
  </si>
  <si>
    <t>00.03.31</t>
  </si>
  <si>
    <t>Электроника и электротехника</t>
  </si>
  <si>
    <t>00.03.36</t>
  </si>
  <si>
    <t>Начертательная геометрия и инженерная графика</t>
  </si>
  <si>
    <t>00.03.38</t>
  </si>
  <si>
    <t>00.04.16</t>
  </si>
  <si>
    <t>Философские проблемы науки и техники</t>
  </si>
  <si>
    <t>00.05.01</t>
  </si>
  <si>
    <t>00.05.03</t>
  </si>
  <si>
    <t>00.05.06</t>
  </si>
  <si>
    <t>00.05.12</t>
  </si>
  <si>
    <t>00.05.16</t>
  </si>
  <si>
    <t>Методология научных исследований</t>
  </si>
  <si>
    <t>МАТЕМАТИКА И МЕХАНИКА</t>
  </si>
  <si>
    <t>01.03.02</t>
  </si>
  <si>
    <t>Прикладная математика и информатика</t>
  </si>
  <si>
    <t>01.03.03</t>
  </si>
  <si>
    <t>Механика и математическое моделирование</t>
  </si>
  <si>
    <t>Прикладная математика</t>
  </si>
  <si>
    <t>01.04.01</t>
  </si>
  <si>
    <t>01.04.02</t>
  </si>
  <si>
    <t>01.04.03</t>
  </si>
  <si>
    <t>01.04.04</t>
  </si>
  <si>
    <t>01.05.01</t>
  </si>
  <si>
    <t>Фундаментальные математика и механика</t>
  </si>
  <si>
    <t>01.06.01</t>
  </si>
  <si>
    <t>Математика и механика</t>
  </si>
  <si>
    <t>02.00.00</t>
  </si>
  <si>
    <t>КОМПЬЮТЕРНЫЕ И ИНФОРМАЦИОННЫЕ НАУКИ</t>
  </si>
  <si>
    <t>02.03.01</t>
  </si>
  <si>
    <t>Математика и компьютерные науки</t>
  </si>
  <si>
    <t>02.03.02</t>
  </si>
  <si>
    <t>Фундаментальная информатика и информационные технологии</t>
  </si>
  <si>
    <t>02.03.03</t>
  </si>
  <si>
    <t>02.04.01</t>
  </si>
  <si>
    <t>02.04.02</t>
  </si>
  <si>
    <t>02.04.03</t>
  </si>
  <si>
    <t>Математическое обеспечение и администрирование информационных систем</t>
  </si>
  <si>
    <t>02.06.01</t>
  </si>
  <si>
    <t>Компьютерные и информационные науки</t>
  </si>
  <si>
    <t>02.07.01</t>
  </si>
  <si>
    <t>03.00.00</t>
  </si>
  <si>
    <t>ФИЗИКА И АСТРОНОМИЯ</t>
  </si>
  <si>
    <t>03.03.01</t>
  </si>
  <si>
    <t>Прикладные математика и физика</t>
  </si>
  <si>
    <t>03.03.02</t>
  </si>
  <si>
    <t>03.03.03</t>
  </si>
  <si>
    <t>03.04.01</t>
  </si>
  <si>
    <t>03.04.02</t>
  </si>
  <si>
    <t>03.04.03</t>
  </si>
  <si>
    <t>Радиофизика</t>
  </si>
  <si>
    <t>03.05.01</t>
  </si>
  <si>
    <t>03.05.02</t>
  </si>
  <si>
    <t>Фундаментальная и прикладная физика</t>
  </si>
  <si>
    <t>Физика и астрономия</t>
  </si>
  <si>
    <t>04.00.00</t>
  </si>
  <si>
    <t>04.03.01</t>
  </si>
  <si>
    <t>Химия</t>
  </si>
  <si>
    <t>Химия, физика и механика материалов</t>
  </si>
  <si>
    <t>04.04.01</t>
  </si>
  <si>
    <t>04.04.02</t>
  </si>
  <si>
    <t>04.05.01</t>
  </si>
  <si>
    <t>Фундаментальная и прикладная химия</t>
  </si>
  <si>
    <t>04.06.01</t>
  </si>
  <si>
    <t>04.07.01</t>
  </si>
  <si>
    <t>05.00.00</t>
  </si>
  <si>
    <t>05.01.01</t>
  </si>
  <si>
    <t>Гидрометнаблюдатель</t>
  </si>
  <si>
    <t>05.02.01</t>
  </si>
  <si>
    <t>Картография</t>
  </si>
  <si>
    <t>05.02.02</t>
  </si>
  <si>
    <t>Гидрология</t>
  </si>
  <si>
    <t>05.02.03</t>
  </si>
  <si>
    <t>Метеорология</t>
  </si>
  <si>
    <t>Геология</t>
  </si>
  <si>
    <t>05.03.03</t>
  </si>
  <si>
    <t>Картография и геоинформатика</t>
  </si>
  <si>
    <t>Гидрометеорология</t>
  </si>
  <si>
    <t>05.03.05</t>
  </si>
  <si>
    <t>Прикладная гидрометеорология</t>
  </si>
  <si>
    <t>Экология и природопользование</t>
  </si>
  <si>
    <t>05.04.03</t>
  </si>
  <si>
    <t>05.04.04</t>
  </si>
  <si>
    <t>05.04.05</t>
  </si>
  <si>
    <t>05.04.06</t>
  </si>
  <si>
    <t>05.06.01</t>
  </si>
  <si>
    <t>Науки о земле</t>
  </si>
  <si>
    <t>06.00.00</t>
  </si>
  <si>
    <t>БИОЛОГИЧЕСКИЕ НАУКИ</t>
  </si>
  <si>
    <t>Биология</t>
  </si>
  <si>
    <t>06.03.02</t>
  </si>
  <si>
    <t>Почвоведение</t>
  </si>
  <si>
    <t>06.04.01</t>
  </si>
  <si>
    <t>06.04.02</t>
  </si>
  <si>
    <t>06.05.01</t>
  </si>
  <si>
    <t>Биоинженерия и биоинформатика</t>
  </si>
  <si>
    <t>06.06.01</t>
  </si>
  <si>
    <t>06.07.01</t>
  </si>
  <si>
    <t>07.00.00</t>
  </si>
  <si>
    <t>АРХИТЕКТУРА</t>
  </si>
  <si>
    <t>Архитектура</t>
  </si>
  <si>
    <t>07.03.01</t>
  </si>
  <si>
    <t>07.03.02</t>
  </si>
  <si>
    <t>Реконструкция и реставрация архитектурного наследия</t>
  </si>
  <si>
    <t>07.03.03</t>
  </si>
  <si>
    <t>Дизайн архитектурной среды</t>
  </si>
  <si>
    <t>07.03.04</t>
  </si>
  <si>
    <t>Градостроительство</t>
  </si>
  <si>
    <t>07.04.01</t>
  </si>
  <si>
    <t>07.04.03</t>
  </si>
  <si>
    <t>07.04.04</t>
  </si>
  <si>
    <t>07.06.01</t>
  </si>
  <si>
    <t>07.07.01</t>
  </si>
  <si>
    <t>07.09.01</t>
  </si>
  <si>
    <t>07.09.02</t>
  </si>
  <si>
    <t>07.09.03</t>
  </si>
  <si>
    <t>07.09.04</t>
  </si>
  <si>
    <t>08.00.00</t>
  </si>
  <si>
    <t>ТЕХНИКА И ТЕХНОЛОГИИ СТРОИТЕЛЬСТВА</t>
  </si>
  <si>
    <t>08.01.16</t>
  </si>
  <si>
    <t>Электромонтажник по сигнализации, централизации и блокировке</t>
  </si>
  <si>
    <t>Строительство и эксплуатация зданий и сооружений</t>
  </si>
  <si>
    <t>08.02.02</t>
  </si>
  <si>
    <t>Строительство и эксплуатация инженерных сооружений</t>
  </si>
  <si>
    <t>08.02.03</t>
  </si>
  <si>
    <t>Производство неметаллических строительных изделий и конструкций</t>
  </si>
  <si>
    <t>08.02.04</t>
  </si>
  <si>
    <t>Водоснабжение и водоотведение</t>
  </si>
  <si>
    <t>Строительство и эксплуатация автомобильных дорог и аэродромов</t>
  </si>
  <si>
    <t>08.02.06</t>
  </si>
  <si>
    <t>Строительство и эксплуатация городских путей сообщения</t>
  </si>
  <si>
    <t>08.02.07</t>
  </si>
  <si>
    <t>Монтаж и эксплуатация внутренних сантехнических устройств, кондиционирования воздуха и вентиляции</t>
  </si>
  <si>
    <t>08.02.08</t>
  </si>
  <si>
    <t>Монтаж и эксплуатация оборудования и систем газоснабжения</t>
  </si>
  <si>
    <t>08.02.10</t>
  </si>
  <si>
    <t>Строительство железных дорог, путь и путевое хозяйство</t>
  </si>
  <si>
    <t>08.03.01</t>
  </si>
  <si>
    <t>Строительство</t>
  </si>
  <si>
    <t>08.05.01</t>
  </si>
  <si>
    <t>Строительство уникальных зданий и сооружений</t>
  </si>
  <si>
    <t>08.05.02</t>
  </si>
  <si>
    <t>Строительство железных дорог, мостов и транспортных тоннелей</t>
  </si>
  <si>
    <t>08.05.03</t>
  </si>
  <si>
    <t>Строительство, эксплуатация, восстановление и техническое прикрытие автомобильных дорог, мостов и тоннелей</t>
  </si>
  <si>
    <t>08.06.01</t>
  </si>
  <si>
    <t>Техника и технологии строительства</t>
  </si>
  <si>
    <t>09.00.00</t>
  </si>
  <si>
    <t>ИНФОРМАТИКА И ВЫЧИСЛИТЕЛЬНАЯ ТЕХНИКА</t>
  </si>
  <si>
    <t>09.02.01</t>
  </si>
  <si>
    <t>Компьютерные системы и комплексы</t>
  </si>
  <si>
    <t>09.02.02</t>
  </si>
  <si>
    <t>Компьютерные сети</t>
  </si>
  <si>
    <t>09.02.03</t>
  </si>
  <si>
    <t>Программирование в компьютерных системах</t>
  </si>
  <si>
    <t>09.02.04</t>
  </si>
  <si>
    <t>Информационные системы (по отраслям)</t>
  </si>
  <si>
    <t>09.02.05</t>
  </si>
  <si>
    <t>Прикладная информатика (по отраслям)</t>
  </si>
  <si>
    <t>09.02.06</t>
  </si>
  <si>
    <t>Сетевое и системное администрирование</t>
  </si>
  <si>
    <t>09.02.07</t>
  </si>
  <si>
    <t>Информационные системы и программирование</t>
  </si>
  <si>
    <t>09.03.01</t>
  </si>
  <si>
    <t>Информатика и вычислительная техника</t>
  </si>
  <si>
    <t>09.03.02</t>
  </si>
  <si>
    <t>Информационные системы и технологии</t>
  </si>
  <si>
    <t>09.03.03</t>
  </si>
  <si>
    <t>Прикладная информатика</t>
  </si>
  <si>
    <t>Программная инженерия</t>
  </si>
  <si>
    <t>09.04.01</t>
  </si>
  <si>
    <t>09.04.02</t>
  </si>
  <si>
    <t>09.04.03</t>
  </si>
  <si>
    <t>09.04.04</t>
  </si>
  <si>
    <t>09.06.01</t>
  </si>
  <si>
    <t>10.00.00</t>
  </si>
  <si>
    <t>ИНФОРМАЦИОННАЯ БЕЗОПАСНОСТЬ</t>
  </si>
  <si>
    <t>10.02.01</t>
  </si>
  <si>
    <t>Организация и технология защиты информации</t>
  </si>
  <si>
    <t>10.02.02</t>
  </si>
  <si>
    <t>Информационная безопасность телекоммуникационных систем</t>
  </si>
  <si>
    <t>10.02.03</t>
  </si>
  <si>
    <t>Информационная безопасность автоматизированных систем</t>
  </si>
  <si>
    <t>10.02.04</t>
  </si>
  <si>
    <t>Обеспечение информационной безопасности телекоммуникационных систем</t>
  </si>
  <si>
    <t>10.02.05</t>
  </si>
  <si>
    <t>Обеспечение информационной безопасности автоматизированных систем</t>
  </si>
  <si>
    <t>10.03.01</t>
  </si>
  <si>
    <t>Информационная безопасность</t>
  </si>
  <si>
    <t>10.04.01</t>
  </si>
  <si>
    <t>10.05.01</t>
  </si>
  <si>
    <t>Компьютерная безопасность</t>
  </si>
  <si>
    <t>10.05.02</t>
  </si>
  <si>
    <t>10.05.03</t>
  </si>
  <si>
    <t>10.05.04</t>
  </si>
  <si>
    <t>Информационно-аналитические системы безопасности</t>
  </si>
  <si>
    <t>10.05.05</t>
  </si>
  <si>
    <t>Безопасность информационых технологий в правоохранительной сфере</t>
  </si>
  <si>
    <t>10.05.07</t>
  </si>
  <si>
    <t>Противодействие техническим разведкам</t>
  </si>
  <si>
    <t>10.06.01</t>
  </si>
  <si>
    <t>11.00.00</t>
  </si>
  <si>
    <t>ЭЛЕКТРОНИКА, РАДИОТЕХНИКА И СИСТЕМЫ СВЯЗИ</t>
  </si>
  <si>
    <t>11.02.02</t>
  </si>
  <si>
    <t>Техническое обслуживание и ремонт радиоэлектронной техники (по отраслям)</t>
  </si>
  <si>
    <t>11.02.03</t>
  </si>
  <si>
    <t>Эксплуатация оборудования радиосвязи и электрорадионавигации судов</t>
  </si>
  <si>
    <t>11.02.04</t>
  </si>
  <si>
    <t>Радиотехнические комплексы и системы управления космических летательных аппаратов</t>
  </si>
  <si>
    <t>11.02.05</t>
  </si>
  <si>
    <t>Аудиовизуальная техника</t>
  </si>
  <si>
    <t>11.02.06</t>
  </si>
  <si>
    <t>Техническая эксплуатация транспортного радиоэлектронного оборудования (по видам транспорта)</t>
  </si>
  <si>
    <t>11.02.07</t>
  </si>
  <si>
    <t>Радиотехнические информационные системы</t>
  </si>
  <si>
    <t>11.02.08</t>
  </si>
  <si>
    <t>Средства связи с подвижными объектами</t>
  </si>
  <si>
    <t>11.02.09</t>
  </si>
  <si>
    <t>Многоканальные телекоммуникационные системы</t>
  </si>
  <si>
    <t>11.02.10</t>
  </si>
  <si>
    <t>Радиосвязь, радиовещание и телевидение</t>
  </si>
  <si>
    <t>11.02.11</t>
  </si>
  <si>
    <t>Сети связи и системы коммутации</t>
  </si>
  <si>
    <t>11.02.13</t>
  </si>
  <si>
    <t>Твердотельная электроника</t>
  </si>
  <si>
    <t>11.02.14</t>
  </si>
  <si>
    <t>Электронные приборы и устройства</t>
  </si>
  <si>
    <t>11.02.15</t>
  </si>
  <si>
    <t>Инфокоммуникационные сети и системы связи</t>
  </si>
  <si>
    <t>11.02.16</t>
  </si>
  <si>
    <t>Монтаж, техническое обслуживание и ремонт электронных приборов и устройств</t>
  </si>
  <si>
    <t>11.03.01</t>
  </si>
  <si>
    <t>Радиотехника</t>
  </si>
  <si>
    <t>11.03.02</t>
  </si>
  <si>
    <t>Инфокоммуникационные технологии и системы связи</t>
  </si>
  <si>
    <t>11.03.03</t>
  </si>
  <si>
    <t>Конструирование и технология электронных средств</t>
  </si>
  <si>
    <t>11.03.04</t>
  </si>
  <si>
    <t>Электроника и наноэлектроника</t>
  </si>
  <si>
    <t>11.04.01</t>
  </si>
  <si>
    <t>11.04.02</t>
  </si>
  <si>
    <t>11.04.03</t>
  </si>
  <si>
    <t>11.04.04</t>
  </si>
  <si>
    <t>11.05.01</t>
  </si>
  <si>
    <t>Радиоэлектронные системы и комплексы</t>
  </si>
  <si>
    <t>11.05.02</t>
  </si>
  <si>
    <t>Специальные радиотехнические системы</t>
  </si>
  <si>
    <t>11.05.04</t>
  </si>
  <si>
    <t>Инфокоммуникационные технологии и системы специальной связи</t>
  </si>
  <si>
    <t>11.06.01</t>
  </si>
  <si>
    <t>Электроника, радиотехника и системы связи</t>
  </si>
  <si>
    <t>12.00.00</t>
  </si>
  <si>
    <t>ФОТОНИКА, ПРИБОРОСТРОЕНИЕ, ОПТИЧЕСКИЕ И БИОТЕХНИЧЕСКИЕ СИСТЕМЫ И ТЕХНОЛОГИИ</t>
  </si>
  <si>
    <t>12.03.01</t>
  </si>
  <si>
    <t>Приборостроение</t>
  </si>
  <si>
    <t>12.03.02</t>
  </si>
  <si>
    <t>Оптотехника</t>
  </si>
  <si>
    <t>12.03.03</t>
  </si>
  <si>
    <t>Фотоника и оптоинформатика</t>
  </si>
  <si>
    <t>12.03.04</t>
  </si>
  <si>
    <t>Биотехнические системы и технологии</t>
  </si>
  <si>
    <t>12.03.05</t>
  </si>
  <si>
    <t>Лазерная техника и лазерные технологии</t>
  </si>
  <si>
    <t>12.04.01</t>
  </si>
  <si>
    <t>12.04.02</t>
  </si>
  <si>
    <t>12.04.03</t>
  </si>
  <si>
    <t>12.04.04</t>
  </si>
  <si>
    <t>12.04.05</t>
  </si>
  <si>
    <t>12.05.01</t>
  </si>
  <si>
    <t>Электронные и оптико-электронные приборы и системы специального назначения</t>
  </si>
  <si>
    <t>12.06.01</t>
  </si>
  <si>
    <t>Фотоника, приборостроение, оптические и биотехнические системы и технологии</t>
  </si>
  <si>
    <t>13.00.00</t>
  </si>
  <si>
    <t>ЭЛЕКТРО- И ТЕПЛОЭНЕРГЕТИКА</t>
  </si>
  <si>
    <t>13.02.03</t>
  </si>
  <si>
    <t>Электрические станции, сети и системы</t>
  </si>
  <si>
    <t>13.02.06</t>
  </si>
  <si>
    <t>Релейная защита и автоматизация электроэнергетических систем</t>
  </si>
  <si>
    <t>13.02.07</t>
  </si>
  <si>
    <t>Электроснабжение (по отраслям)</t>
  </si>
  <si>
    <t>13.02.08</t>
  </si>
  <si>
    <t>Электроизоляционная, кабельная и конденсаторная техника</t>
  </si>
  <si>
    <t>13.02.09</t>
  </si>
  <si>
    <t>Монтаж и эксплуатация линий электропередачи</t>
  </si>
  <si>
    <t>13.02.10</t>
  </si>
  <si>
    <t>Электрические машины и аппараты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</si>
  <si>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</si>
  <si>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</si>
  <si>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13.03.01</t>
  </si>
  <si>
    <t>Теплоэнергетика и теплотехника</t>
  </si>
  <si>
    <t>13.03.02</t>
  </si>
  <si>
    <t>Электроэнергетика и электротехника</t>
  </si>
  <si>
    <t>13.03.03</t>
  </si>
  <si>
    <t>Энергетическое машиностроение</t>
  </si>
  <si>
    <t>13.04.01</t>
  </si>
  <si>
    <t>13.04.02</t>
  </si>
  <si>
    <t>13.04.03</t>
  </si>
  <si>
    <t>13.05.01</t>
  </si>
  <si>
    <t>Тепло- и электрообеспечение специальных технических систем и объектов</t>
  </si>
  <si>
    <t>13.05.02</t>
  </si>
  <si>
    <t>Специальные электромеханические системы</t>
  </si>
  <si>
    <t>13.06.01</t>
  </si>
  <si>
    <t>Электро- и теплоэнергетика</t>
  </si>
  <si>
    <t>14.00.00</t>
  </si>
  <si>
    <t>ЯДЕРНАЯ ЭНЕРГЕТИКА И ТЕХНОЛОГИИ</t>
  </si>
  <si>
    <t>14.03.01</t>
  </si>
  <si>
    <t>Ядерная энергетика и теплофизика</t>
  </si>
  <si>
    <t>14.03.02</t>
  </si>
  <si>
    <t>Ядерные физика и технологии</t>
  </si>
  <si>
    <t>14.04.01</t>
  </si>
  <si>
    <t>14.04.02</t>
  </si>
  <si>
    <t>14.05.01</t>
  </si>
  <si>
    <t>Ядерные реакторы и материалы</t>
  </si>
  <si>
    <t>14.05.02</t>
  </si>
  <si>
    <t>Атомные станции: проектирование, эксплуатация и инжиниринг</t>
  </si>
  <si>
    <t>14.05.03</t>
  </si>
  <si>
    <t>Технологии разделения изотопов и ядерное топливо</t>
  </si>
  <si>
    <t>14.05.04</t>
  </si>
  <si>
    <t>Электроника и автоматика физических установок</t>
  </si>
  <si>
    <t>14.06.01</t>
  </si>
  <si>
    <t>Ядерная, тепловая и возобновляемая энергетика и сопутствующие технологии</t>
  </si>
  <si>
    <t>15.00.00</t>
  </si>
  <si>
    <t>МАШИНОСТРОЕНИЕ</t>
  </si>
  <si>
    <t>15.01.31</t>
  </si>
  <si>
    <t>Мастер контрольно-измерительных приборов и автоматики</t>
  </si>
  <si>
    <t>15.01.32</t>
  </si>
  <si>
    <t>Оператор станков с программным управлением</t>
  </si>
  <si>
    <t>15.01.33</t>
  </si>
  <si>
    <t>Токарь на станках с числовым программным управлением</t>
  </si>
  <si>
    <t>15.01.34</t>
  </si>
  <si>
    <t>Фрезеровщик на станках с числовым программным управлением</t>
  </si>
  <si>
    <t>15.01.35</t>
  </si>
  <si>
    <t>Мастер слесарных работ</t>
  </si>
  <si>
    <t>15.02.01</t>
  </si>
  <si>
    <t>Монтаж и техническая эксплуатация промышленного оборудования (по отраслям)</t>
  </si>
  <si>
    <t>Техническая эксплуатация гидравлических машин, гидроприводов и гидропневмоавтоматики</t>
  </si>
  <si>
    <t>15.02.04</t>
  </si>
  <si>
    <t>Специальные машины и устройства</t>
  </si>
  <si>
    <t>15.02.08</t>
  </si>
  <si>
    <t>Технология машиностроения</t>
  </si>
  <si>
    <t>15.02.10</t>
  </si>
  <si>
    <t>Мехатроника и мобильная робототехника (по отраслям)</t>
  </si>
  <si>
    <t>15.02.11</t>
  </si>
  <si>
    <t>Техническая эксплуатация и обслуживание роботизированного производства</t>
  </si>
  <si>
    <t>15.02.14</t>
  </si>
  <si>
    <t>Оснащение средствами автоматизации технологических процессов и производств (по отраслям)</t>
  </si>
  <si>
    <t>15.02.15</t>
  </si>
  <si>
    <t>Технология металлообрабатывающего производства</t>
  </si>
  <si>
    <t>15.03.01</t>
  </si>
  <si>
    <t>Машиностроение</t>
  </si>
  <si>
    <t>15.03.02</t>
  </si>
  <si>
    <t>Технологические машины и оборудование</t>
  </si>
  <si>
    <t>15.03.03</t>
  </si>
  <si>
    <t>Прикладная механика</t>
  </si>
  <si>
    <t>15.03.04</t>
  </si>
  <si>
    <t>Автоматизация технологических процессов и производств</t>
  </si>
  <si>
    <t>15.03.05</t>
  </si>
  <si>
    <t>Конструкторско-технологическое обеспечение машиностроительных производств</t>
  </si>
  <si>
    <t>15.03.06</t>
  </si>
  <si>
    <t>Мехатроника и роботехника</t>
  </si>
  <si>
    <t>15.04.01</t>
  </si>
  <si>
    <t>15.04.02</t>
  </si>
  <si>
    <t>15.04.03</t>
  </si>
  <si>
    <t>15.04.04</t>
  </si>
  <si>
    <t>15.04.05</t>
  </si>
  <si>
    <t>15.04.06</t>
  </si>
  <si>
    <t>15.05.01</t>
  </si>
  <si>
    <t>Проектирование технологических машин и комплексов</t>
  </si>
  <si>
    <t>15.06.01</t>
  </si>
  <si>
    <t>16.00.00</t>
  </si>
  <si>
    <t>ФИЗИКО-ТЕХНИЧЕСКИЕ НАУКИ И ТЕХНОЛОГИИ</t>
  </si>
  <si>
    <t>16.03.01</t>
  </si>
  <si>
    <t>Техническая физика</t>
  </si>
  <si>
    <t>16.03.02</t>
  </si>
  <si>
    <t>Высокотехнологические плазменные и энергетические установки</t>
  </si>
  <si>
    <t>16.03.03</t>
  </si>
  <si>
    <t>Холодильная, криогенная техника и системы жизнеобеспечения</t>
  </si>
  <si>
    <t>16.04.01</t>
  </si>
  <si>
    <t>16.04.02</t>
  </si>
  <si>
    <t>16.04.03</t>
  </si>
  <si>
    <t>16.05.01</t>
  </si>
  <si>
    <t>Специальные системы жизнеобеспечения</t>
  </si>
  <si>
    <t>16.06.01</t>
  </si>
  <si>
    <t>Физико-техинческие науки и технологии</t>
  </si>
  <si>
    <t>17.00.00</t>
  </si>
  <si>
    <t>ОРУЖИЕ И СИСТЕМЫ ВООРУЖЕНИЯ</t>
  </si>
  <si>
    <t>17.05.01</t>
  </si>
  <si>
    <t>Боеприпасы и взрыватели</t>
  </si>
  <si>
    <t>17.05.02</t>
  </si>
  <si>
    <t>Стрелково-пушечное, артиллерийское и ракетное оружие</t>
  </si>
  <si>
    <t>17.06.01</t>
  </si>
  <si>
    <t>Оружие и системы вооружения</t>
  </si>
  <si>
    <t>18.00.00</t>
  </si>
  <si>
    <t>ХИМИЧЕСКИЕ ТЕХНОЛОГИИ</t>
  </si>
  <si>
    <t>18.01.16</t>
  </si>
  <si>
    <t>Аппаратчик в производстве химических волокон</t>
  </si>
  <si>
    <t>18.01.17</t>
  </si>
  <si>
    <t>Оператор в производстве химических волокон</t>
  </si>
  <si>
    <t>18.01.26</t>
  </si>
  <si>
    <t>Аппаратчик-оператор нефтехимического производства</t>
  </si>
  <si>
    <t>18.01.30</t>
  </si>
  <si>
    <t>Аппаратчик-оператор коксохимического производства</t>
  </si>
  <si>
    <t>18.01.31</t>
  </si>
  <si>
    <t>Машинист машин коксохимического производства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</si>
  <si>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</si>
  <si>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</si>
  <si>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18.02.01</t>
  </si>
  <si>
    <t>Аналитический контроль качества химических соединений</t>
  </si>
  <si>
    <t>18.02.02</t>
  </si>
  <si>
    <t>Химическая технология отделочного производства и обработки изделий</t>
  </si>
  <si>
    <t>18.02.03</t>
  </si>
  <si>
    <t>Химическая технология неорганических веществ</t>
  </si>
  <si>
    <t>18.02.04</t>
  </si>
  <si>
    <t>Электрохимическое производство</t>
  </si>
  <si>
    <t>18.02.06</t>
  </si>
  <si>
    <t>Химическая технология органических веществ</t>
  </si>
  <si>
    <t>18.02.07</t>
  </si>
  <si>
    <t>Технология производства и переработки пластических масс и эластомеров</t>
  </si>
  <si>
    <t>18.02.09</t>
  </si>
  <si>
    <t>Переработка нефти и газа</t>
  </si>
  <si>
    <t>18.02.10</t>
  </si>
  <si>
    <t>Коксохимическое производство</t>
  </si>
  <si>
    <t>18.02.12</t>
  </si>
  <si>
    <t>Технология аналитического контроля химических соединений</t>
  </si>
  <si>
    <t>18.02.13</t>
  </si>
  <si>
    <t>Технология производства изделий из полимерных композитов</t>
  </si>
  <si>
    <t>18.03.01</t>
  </si>
  <si>
    <t>Химическая технология</t>
  </si>
  <si>
    <t>Энерго- и ресурсосберегающие процессы в химической технологии, нефтехимии и биотехнологии</t>
  </si>
  <si>
    <t>18.04.01</t>
  </si>
  <si>
    <t>18.04.02</t>
  </si>
  <si>
    <t>18.05.01</t>
  </si>
  <si>
    <t>Химическая технология энергонасыщенных материалов и изделий</t>
  </si>
  <si>
    <t>18.05.02</t>
  </si>
  <si>
    <t>Химическая технология материалов современной энергетики</t>
  </si>
  <si>
    <t>18.06.01</t>
  </si>
  <si>
    <t>&lt;&gt;</t>
  </si>
  <si>
    <t>19.00.00</t>
  </si>
  <si>
    <t>ПРОМЫШЛЕННАЯ ЭКОЛОГИЯ И БИОТЕХНОЛОГИИ</t>
  </si>
  <si>
    <t>19.01.02</t>
  </si>
  <si>
    <t>Лаборант-аналитик</t>
  </si>
  <si>
    <t>19.01.18</t>
  </si>
  <si>
    <t>19.02.01</t>
  </si>
  <si>
    <t>Биохимическое производство</t>
  </si>
  <si>
    <t>19.02.03</t>
  </si>
  <si>
    <t>Технология хлеба, кондитерских и макаронных изделий</t>
  </si>
  <si>
    <t>19.02.07</t>
  </si>
  <si>
    <t>Технология молока и молочных продуктов</t>
  </si>
  <si>
    <t>19.02.08</t>
  </si>
  <si>
    <t>Технология мяса и мясных продуктов</t>
  </si>
  <si>
    <t>19.02.10</t>
  </si>
  <si>
    <t>Технология продукции общественного питания</t>
  </si>
  <si>
    <t>19.03.01</t>
  </si>
  <si>
    <t>Биотехнология</t>
  </si>
  <si>
    <t>Продукты питания из растительного сырья</t>
  </si>
  <si>
    <t>19.03.03</t>
  </si>
  <si>
    <t>Продукты питания животного происхождения</t>
  </si>
  <si>
    <t>Технология продукции и организация общественного питания</t>
  </si>
  <si>
    <t>19.04.01</t>
  </si>
  <si>
    <t>19.04.02</t>
  </si>
  <si>
    <t>19.04.03</t>
  </si>
  <si>
    <t>19.04.04</t>
  </si>
  <si>
    <t>19.06.01</t>
  </si>
  <si>
    <t>20.00.00</t>
  </si>
  <si>
    <t>ТЕХНОСФЕРНАЯ БЕЗОПАСНОСТЬ И ПРИРОДООБУСТРОЙСТВО</t>
  </si>
  <si>
    <t>20.01.01</t>
  </si>
  <si>
    <t>Пожарный</t>
  </si>
  <si>
    <t>20.02.01</t>
  </si>
  <si>
    <t>Рациональное использование природохозяйственных комплексов</t>
  </si>
  <si>
    <t>20.02.02</t>
  </si>
  <si>
    <t>Защита в чрезвычайных ситуациях</t>
  </si>
  <si>
    <t>20.02.03</t>
  </si>
  <si>
    <t>Природоохранное обустройство территорий</t>
  </si>
  <si>
    <t>20.02.04</t>
  </si>
  <si>
    <t>Пожарная безопасность</t>
  </si>
  <si>
    <t>Техносферная безопасность</t>
  </si>
  <si>
    <t>20.03.02</t>
  </si>
  <si>
    <t>Природообустройство и водопользование</t>
  </si>
  <si>
    <t>20.04.01</t>
  </si>
  <si>
    <t>20.04.02</t>
  </si>
  <si>
    <t>20.05.01</t>
  </si>
  <si>
    <t>20.06.01</t>
  </si>
  <si>
    <t>Техносферная безопасность</t>
  </si>
  <si>
    <t>20.07.01</t>
  </si>
  <si>
    <t>21.00.00</t>
  </si>
  <si>
    <t>ПРИКЛАДНАЯ ГЕОЛОГИЯ, ГОРНОЕ ДЕЛО, НЕФТЕГАЗОВОЕ ДЕЛО И ГЕОДЕЗИЯ</t>
  </si>
  <si>
    <t>21.02.01</t>
  </si>
  <si>
    <t>Разработка и эксплуатация нефтяных и газовых месторождений</t>
  </si>
  <si>
    <t>21.02.02</t>
  </si>
  <si>
    <t>Бурение нефтяных и газовых скважин</t>
  </si>
  <si>
    <t>21.02.04</t>
  </si>
  <si>
    <t>Землеустройство</t>
  </si>
  <si>
    <t>Земельно-имущественные отношения</t>
  </si>
  <si>
    <t>21.02.06</t>
  </si>
  <si>
    <t>Информационные системы обеспечения градостроительной деятельности</t>
  </si>
  <si>
    <t>21.02.08</t>
  </si>
  <si>
    <t>Прикладная геодезия</t>
  </si>
  <si>
    <t>21.02.09</t>
  </si>
  <si>
    <t>Гидрогеология и инженерная геология</t>
  </si>
  <si>
    <t>21.02.10</t>
  </si>
  <si>
    <t>Геология и разведка нефтяных и газовых месторождений</t>
  </si>
  <si>
    <t>21.02.11</t>
  </si>
  <si>
    <t>Геофизические методы поисков и разведки месторождений полезных ископаемых</t>
  </si>
  <si>
    <t>21.02.12</t>
  </si>
  <si>
    <t>Технология и техника разведки месторождений полезных ископаемых</t>
  </si>
  <si>
    <t>21.02.13</t>
  </si>
  <si>
    <t>Геологическая съемка, поиски и разведка месторождений полезных ископаемых</t>
  </si>
  <si>
    <t>21.02.14</t>
  </si>
  <si>
    <t>Маркшейдерское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</si>
  <si>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</si>
  <si>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</si>
  <si>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</si>
  <si>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</si>
  <si>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</si>
  <si>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</si>
  <si>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</si>
  <si>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</si>
  <si>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21.03.01</t>
  </si>
  <si>
    <t>Нефтегазовое дело</t>
  </si>
  <si>
    <t>21.03.02</t>
  </si>
  <si>
    <t>Землеустройство и кадастры</t>
  </si>
  <si>
    <t>21.03.03</t>
  </si>
  <si>
    <t>Геодезия и дистанционное зондирование</t>
  </si>
  <si>
    <t>21.04.01</t>
  </si>
  <si>
    <t>21.04.02</t>
  </si>
  <si>
    <t>21.04.03</t>
  </si>
  <si>
    <t>21.05.01</t>
  </si>
  <si>
    <t>21.05.02</t>
  </si>
  <si>
    <t>Прикладная геология</t>
  </si>
  <si>
    <t>Технология геологической разведки</t>
  </si>
  <si>
    <t>Горное дело</t>
  </si>
  <si>
    <t>21.05.05</t>
  </si>
  <si>
    <t>Физические процессы горного или нефтегазового производства</t>
  </si>
  <si>
    <t>21.05.06</t>
  </si>
  <si>
    <t>Нефтегазовые техника и технологии</t>
  </si>
  <si>
    <t>21.06.01</t>
  </si>
  <si>
    <t>Геология, разведка и разработка полезных ископаемых</t>
  </si>
  <si>
    <t>21.06.02</t>
  </si>
  <si>
    <t>Геодезия</t>
  </si>
  <si>
    <t>22.00.00</t>
  </si>
  <si>
    <t>ТЕХНОЛОГИИ МАТЕРИАЛОВ</t>
  </si>
  <si>
    <t>22.03.01</t>
  </si>
  <si>
    <t>Материаловедение и технологии материалов</t>
  </si>
  <si>
    <t>22.03.02</t>
  </si>
  <si>
    <t>Металлургия</t>
  </si>
  <si>
    <t>22.04.01</t>
  </si>
  <si>
    <t>22.04.02</t>
  </si>
  <si>
    <t>22.06.01</t>
  </si>
  <si>
    <t>Технологии материалов</t>
  </si>
  <si>
    <t>23.00.00</t>
  </si>
  <si>
    <t>ТЕХНИКА И ТЕХНОЛОГИИ НАЗЕМНОГО ТРАНСПОРТА</t>
  </si>
  <si>
    <t>23.01.17</t>
  </si>
  <si>
    <t>Мастер по ремонту и обслуживанию автомобилей</t>
  </si>
  <si>
    <t>23.02.01</t>
  </si>
  <si>
    <t>Организация перевозок и управление на транспорте (по видам)</t>
  </si>
  <si>
    <t>23.02.02</t>
  </si>
  <si>
    <t>Автомобиле- и тракторостроение</t>
  </si>
  <si>
    <t>23.02.03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</si>
  <si>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</si>
  <si>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</si>
  <si>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</si>
  <si>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</si>
  <si>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</si>
  <si>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</si>
  <si>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</si>
  <si>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</si>
  <si>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</si>
  <si>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23.03.01</t>
  </si>
  <si>
    <t>Технология транспортных процессов</t>
  </si>
  <si>
    <t>23.03.02</t>
  </si>
  <si>
    <t>Наземные транспортно-технологические комплексы</t>
  </si>
  <si>
    <t>Эксплуатация транспортно-технологических машин и комплексов</t>
  </si>
  <si>
    <t>23.04.02</t>
  </si>
  <si>
    <t>23.04.03</t>
  </si>
  <si>
    <t>23.05.01</t>
  </si>
  <si>
    <t>Наземные транспортно-технологические средства</t>
  </si>
  <si>
    <t>23.05.02</t>
  </si>
  <si>
    <t>Транспортные средства специального назначения</t>
  </si>
  <si>
    <t>23.05.03</t>
  </si>
  <si>
    <t>Подвижной состав железных дорог</t>
  </si>
  <si>
    <t>23.05.04</t>
  </si>
  <si>
    <t>Эксплуатация железных дорог</t>
  </si>
  <si>
    <t>23.05.05</t>
  </si>
  <si>
    <t>Системы обеспечения движения поездов</t>
  </si>
  <si>
    <t>23.05.06</t>
  </si>
  <si>
    <t>23.06.01</t>
  </si>
  <si>
    <t>Техника и технологии наземного транспорта</t>
  </si>
  <si>
    <t>24.00.00</t>
  </si>
  <si>
    <t>АВИАЦИОННАЯ И РАКЕТНО-КОСМИЧЕСКАЯ ТЕХНИКА</t>
  </si>
  <si>
    <t>24.01.01</t>
  </si>
  <si>
    <t>Слесарь-сборщик авиационной техники</t>
  </si>
  <si>
    <t>24.02.01</t>
  </si>
  <si>
    <t>Производство летательных аппаратов</t>
  </si>
  <si>
    <t>24.03.01</t>
  </si>
  <si>
    <t>Ракетные комплексы и космонавтика</t>
  </si>
  <si>
    <t>24.03.02</t>
  </si>
  <si>
    <t>Системы управления движением и навигация</t>
  </si>
  <si>
    <t>24.03.03</t>
  </si>
  <si>
    <t>Баллистика и гидроаэродинамика</t>
  </si>
  <si>
    <t>24.03.04</t>
  </si>
  <si>
    <t>Авиастроение</t>
  </si>
  <si>
    <t>24.03.05</t>
  </si>
  <si>
    <t>Двигатели летательных аппаратов</t>
  </si>
  <si>
    <t>24.04.03</t>
  </si>
  <si>
    <t>24.05.01</t>
  </si>
  <si>
    <t>Проектирование, производство и эксплуатация ракет и ракетно-космических комплексов</t>
  </si>
  <si>
    <t>24.05.02</t>
  </si>
  <si>
    <t>Проектирование авиационных и ракетных двигателей</t>
  </si>
  <si>
    <t>24.05.03</t>
  </si>
  <si>
    <t>Испытание летательных аппаратов</t>
  </si>
  <si>
    <t>24.05.04</t>
  </si>
  <si>
    <t>Навигационно-баллистическое обеспечение применения космической техники</t>
  </si>
  <si>
    <t>24.05.05</t>
  </si>
  <si>
    <t>Интегрированные системы летательных аппаратов</t>
  </si>
  <si>
    <t>24.05.06</t>
  </si>
  <si>
    <t>Системы управления летательными аппаратами</t>
  </si>
  <si>
    <t>24.05.07</t>
  </si>
  <si>
    <t>Самолето- и вертолетостроение</t>
  </si>
  <si>
    <t>24.06.01</t>
  </si>
  <si>
    <t>Авиационная и ракетно-космическая техника</t>
  </si>
  <si>
    <t>25.00.00</t>
  </si>
  <si>
    <t>АЭРОНАВИГАЦИЯ И ЭКСПЛУАТАЦИЯ АВИАЦИОННОЙ И РАКЕТНО-КОСМИЧЕСКОЙ ТЕХНИКИ</t>
  </si>
  <si>
    <t>25.02.01</t>
  </si>
  <si>
    <t>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</si>
  <si>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</si>
  <si>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</si>
  <si>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</si>
  <si>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</si>
  <si>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</si>
  <si>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</si>
  <si>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25.02.05</t>
  </si>
  <si>
    <t>Управление движением воздушного транспорта</t>
  </si>
  <si>
    <t>25.02.06</t>
  </si>
  <si>
    <t>Производство и обслуживание авиационной техники</t>
  </si>
  <si>
    <t>25.02.07</t>
  </si>
  <si>
    <t>Техническое обслуживание авиационных двигателей</t>
  </si>
  <si>
    <t>25.02.08</t>
  </si>
  <si>
    <t>Эксплуатация беспилотных авиационных систем</t>
  </si>
  <si>
    <t>25.03.01</t>
  </si>
  <si>
    <t>Техническая эксплуатация летательных апаратов и двигателей</t>
  </si>
  <si>
    <t>25.03.02</t>
  </si>
  <si>
    <t>Техническая эксплуатация авиационных электросистем и пилотажно-навигационных комплексов</t>
  </si>
  <si>
    <t>25.03.03</t>
  </si>
  <si>
    <t>Аэронавигация</t>
  </si>
  <si>
    <t>25.03.04</t>
  </si>
  <si>
    <t>Эксплуатация аэропортов и обеспечение полетов воздушных судов</t>
  </si>
  <si>
    <t>25.04.03</t>
  </si>
  <si>
    <t>25.04.04</t>
  </si>
  <si>
    <t>25.05.01</t>
  </si>
  <si>
    <t>Техническая эксплуатация и восстановление боевых летательных аппаратов и двигателей</t>
  </si>
  <si>
    <t>25.05.02</t>
  </si>
  <si>
    <t>Техническая эксплуатация и восстановление электросистем и пилотажно-навигационных комплексов боевых летательных аппаратов</t>
  </si>
  <si>
    <t>25.05.03</t>
  </si>
  <si>
    <t>Техническая эксплуатация транспортного радиооборудования</t>
  </si>
  <si>
    <t>25.05.04</t>
  </si>
  <si>
    <t>Летная эксплуатация и применение авиационных комплексов</t>
  </si>
  <si>
    <t>25.05.05</t>
  </si>
  <si>
    <t>Эксплуатация воздушных судов и организация воздушного движения</t>
  </si>
  <si>
    <t>25.06.01</t>
  </si>
  <si>
    <t>Аэронавигация и эксплуатация авиационной и ракетно-космической техники</t>
  </si>
  <si>
    <t>26.00.00</t>
  </si>
  <si>
    <t>ТЕХНИКА И ТЕХНОЛОГИИ КОРАБЛЕСТРОЕНИЯ И ВОДНОГО ТРАНСПОРТА</t>
  </si>
  <si>
    <t>26.02.03</t>
  </si>
  <si>
    <t>Судовождение</t>
  </si>
  <si>
    <t>26.02.04</t>
  </si>
  <si>
    <t>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</si>
  <si>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</si>
  <si>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</si>
  <si>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</si>
  <si>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</si>
  <si>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26.03.01</t>
  </si>
  <si>
    <t>Управление водным транспортом и гидрографическое обеспечение судоходства</t>
  </si>
  <si>
    <t>26.03.02</t>
  </si>
  <si>
    <t>Кораблестроение, океанотехника и системотехника объектов морской инфраструктуры</t>
  </si>
  <si>
    <t>26.04.01</t>
  </si>
  <si>
    <t>26.04.02</t>
  </si>
  <si>
    <t>26.05.01</t>
  </si>
  <si>
    <t>Проектирование и постройка кораблей, судов и объектов океанотехники</t>
  </si>
  <si>
    <t>26.05.02</t>
  </si>
  <si>
    <t>Проектирование, изготовление и ремонт энергетических установок и систем автоматизации кораблей и судов</t>
  </si>
  <si>
    <t>26.05.03</t>
  </si>
  <si>
    <t>Строительство, ремонт и поисково-спасательное обеспечение наводных кораблей и подводных лодок</t>
  </si>
  <si>
    <t>26.05.04</t>
  </si>
  <si>
    <t>Применение и эксплуатация технических систем наводных кораблей и подводных лодок</t>
  </si>
  <si>
    <t>26.05.05</t>
  </si>
  <si>
    <t>26.05.06</t>
  </si>
  <si>
    <t>26.05.07</t>
  </si>
  <si>
    <t>26.06.01</t>
  </si>
  <si>
    <t>Техника и технологии кораблестроения и водного транспорта</t>
  </si>
  <si>
    <t>27.00.00</t>
  </si>
  <si>
    <t>УПРАВЛЕНИЕ В ТЕХНИЧЕСКИХ СИСТЕМАХ</t>
  </si>
  <si>
    <t>27.02.06</t>
  </si>
  <si>
    <t>Контроль работы измерительных приборов</t>
  </si>
  <si>
    <t>27.03.01</t>
  </si>
  <si>
    <t>Стандартизация и метрология</t>
  </si>
  <si>
    <t>27.03.03</t>
  </si>
  <si>
    <t>Системный анализ и управление</t>
  </si>
  <si>
    <t>27.03.04</t>
  </si>
  <si>
    <t>Управление в технических системах</t>
  </si>
  <si>
    <t>27.03.05</t>
  </si>
  <si>
    <t>Инноватика</t>
  </si>
  <si>
    <t>27.04.01</t>
  </si>
  <si>
    <t>27.04.02</t>
  </si>
  <si>
    <t>Управление качеством</t>
  </si>
  <si>
    <t>27.04.03</t>
  </si>
  <si>
    <t>27.04.04</t>
  </si>
  <si>
    <t>27.04.05</t>
  </si>
  <si>
    <t>27.04.07</t>
  </si>
  <si>
    <t>Наукоемкие технологии и экономика инноваций</t>
  </si>
  <si>
    <t>27.05.01</t>
  </si>
  <si>
    <t>Специальные организационно-технические системы</t>
  </si>
  <si>
    <t>27.06.01</t>
  </si>
  <si>
    <t>28.00.00</t>
  </si>
  <si>
    <t>НАНОТЕХНОЛОГИИ И НАНОМАТЕРИАЛЫ</t>
  </si>
  <si>
    <t>28.03.01</t>
  </si>
  <si>
    <t>Нанотехнологии и микросистемная техника</t>
  </si>
  <si>
    <t>28.03.02</t>
  </si>
  <si>
    <t>Наноинженерия</t>
  </si>
  <si>
    <t>28.03.03</t>
  </si>
  <si>
    <t>Наноматериалы</t>
  </si>
  <si>
    <t>28.04.02</t>
  </si>
  <si>
    <t>28.06.01</t>
  </si>
  <si>
    <t>Нанотехнологии и наноматериалы</t>
  </si>
  <si>
    <t>29.00.00</t>
  </si>
  <si>
    <t>ТЕХНОЛОГИИ ЛЕГКОЙ ПРОМЫШЛЕННОСТИ</t>
  </si>
  <si>
    <t>29.03.01</t>
  </si>
  <si>
    <t>Технология изделий легкой промышленности</t>
  </si>
  <si>
    <t>29.03.02</t>
  </si>
  <si>
    <t>Технологии и проектирование техстильных изделий</t>
  </si>
  <si>
    <t>29.03.04</t>
  </si>
  <si>
    <t>Технология художественной обработки материалов</t>
  </si>
  <si>
    <t>29.03.05</t>
  </si>
  <si>
    <t>Конструирование изделий легкой промышленности</t>
  </si>
  <si>
    <t>29.04.01</t>
  </si>
  <si>
    <t>29.04.02</t>
  </si>
  <si>
    <t>29.04.04</t>
  </si>
  <si>
    <t>29.04.05</t>
  </si>
  <si>
    <t>29.06.01</t>
  </si>
  <si>
    <t>Технологии легкой промышленности</t>
  </si>
  <si>
    <t>30.00.00</t>
  </si>
  <si>
    <t>ФУНДАМЕНТАЛЬНАЯ МЕДИЦИНА</t>
  </si>
  <si>
    <t>30.05.01</t>
  </si>
  <si>
    <t>Медицинская биохимия</t>
  </si>
  <si>
    <t>30.05.02</t>
  </si>
  <si>
    <t>Медицинская биофизика</t>
  </si>
  <si>
    <t>30.05.03</t>
  </si>
  <si>
    <t>Медицинская кибернетика</t>
  </si>
  <si>
    <t>30.06.01</t>
  </si>
  <si>
    <t>Фундаментальная медицина</t>
  </si>
  <si>
    <t>30.07.01</t>
  </si>
  <si>
    <t>31.00.00</t>
  </si>
  <si>
    <t>КЛИНИЧЕСКАЯ МЕДИЦИНА</t>
  </si>
  <si>
    <t>Лечебное дело</t>
  </si>
  <si>
    <t>31.02.03</t>
  </si>
  <si>
    <t>Лабораторная диагностика</t>
  </si>
  <si>
    <t>31.05.01</t>
  </si>
  <si>
    <t>31.05.02</t>
  </si>
  <si>
    <t>Педиатрия</t>
  </si>
  <si>
    <t>31.05.03</t>
  </si>
  <si>
    <t>Стоматология</t>
  </si>
  <si>
    <t>31.06.01</t>
  </si>
  <si>
    <t>Клиническая медицина</t>
  </si>
  <si>
    <t>31.07.01</t>
  </si>
  <si>
    <t>31.08.01</t>
  </si>
  <si>
    <t>Акушерство и гинекология</t>
  </si>
  <si>
    <t>31.08.02</t>
  </si>
  <si>
    <t>Анестезиология-реаниматология</t>
  </si>
  <si>
    <t>31.08.03</t>
  </si>
  <si>
    <t>Токсикология</t>
  </si>
  <si>
    <t>31.08.04</t>
  </si>
  <si>
    <t>Трансфузиология</t>
  </si>
  <si>
    <t>31.08.05</t>
  </si>
  <si>
    <t>Клиническая лабораторная диагностика</t>
  </si>
  <si>
    <t>31.08.06</t>
  </si>
  <si>
    <t>Лабораторная генетика</t>
  </si>
  <si>
    <t>31.08.07</t>
  </si>
  <si>
    <t>Патологическая анатомия</t>
  </si>
  <si>
    <t>31.08.08</t>
  </si>
  <si>
    <t>Радиология</t>
  </si>
  <si>
    <t>31.08.09</t>
  </si>
  <si>
    <t>Рентгенология</t>
  </si>
  <si>
    <t>31.08.10</t>
  </si>
  <si>
    <t>Судебно-медицинская экспертиза</t>
  </si>
  <si>
    <t>31.08.11</t>
  </si>
  <si>
    <t>Ультразвуковая диагностика</t>
  </si>
  <si>
    <t>31.08.12</t>
  </si>
  <si>
    <t>Функциональная диагностика</t>
  </si>
  <si>
    <t>31.08.13</t>
  </si>
  <si>
    <t>Детская кардиология</t>
  </si>
  <si>
    <t>31.08.14</t>
  </si>
  <si>
    <t>Детская онкология</t>
  </si>
  <si>
    <t>31.08.15</t>
  </si>
  <si>
    <t>Детская урология-андрология</t>
  </si>
  <si>
    <t>31.08.16</t>
  </si>
  <si>
    <t>Детская хирургия</t>
  </si>
  <si>
    <t>31.08.17</t>
  </si>
  <si>
    <t>Детская эндокринология</t>
  </si>
  <si>
    <t>31.08.18</t>
  </si>
  <si>
    <t>Неонатология</t>
  </si>
  <si>
    <t>31.08.19</t>
  </si>
  <si>
    <t>31.08.20</t>
  </si>
  <si>
    <t>Психиатрия</t>
  </si>
  <si>
    <t>31.08.21</t>
  </si>
  <si>
    <t>Психиатрия-наркология</t>
  </si>
  <si>
    <t>31.08.22</t>
  </si>
  <si>
    <t>Психотерапия</t>
  </si>
  <si>
    <t>31.08.23</t>
  </si>
  <si>
    <t>Сексология</t>
  </si>
  <si>
    <t>31.08.24</t>
  </si>
  <si>
    <t>Судебно-психиатрическая экспертиза</t>
  </si>
  <si>
    <t>31.08.25</t>
  </si>
  <si>
    <t>Авиационная и космическая медицина</t>
  </si>
  <si>
    <t>31.08.26</t>
  </si>
  <si>
    <t>Аллергология и иммунология</t>
  </si>
  <si>
    <t>31.08.27</t>
  </si>
  <si>
    <t>Водолазная медицина</t>
  </si>
  <si>
    <t>31.08.28</t>
  </si>
  <si>
    <t>Гастроэнтерология</t>
  </si>
  <si>
    <t>31.08.29</t>
  </si>
  <si>
    <t>Гематология</t>
  </si>
  <si>
    <t>31.08.30</t>
  </si>
  <si>
    <t>Генетика</t>
  </si>
  <si>
    <t>31.08.31</t>
  </si>
  <si>
    <t>Гериатрия</t>
  </si>
  <si>
    <t>31.08.32</t>
  </si>
  <si>
    <t>Дерматовенерология</t>
  </si>
  <si>
    <t>31.08.33</t>
  </si>
  <si>
    <t>Диабетология</t>
  </si>
  <si>
    <t>31.08.34</t>
  </si>
  <si>
    <t>Диетология</t>
  </si>
  <si>
    <t>31.08.35</t>
  </si>
  <si>
    <t>Инфекционные болезни</t>
  </si>
  <si>
    <t>31.08.36</t>
  </si>
  <si>
    <t>Кардиология</t>
  </si>
  <si>
    <t>31.08.37</t>
  </si>
  <si>
    <t>Клиническая фармакология</t>
  </si>
  <si>
    <t>31.08.38</t>
  </si>
  <si>
    <t>Косметология</t>
  </si>
  <si>
    <t>31.08.39</t>
  </si>
  <si>
    <t>Лечебная физкультура и спортивная медицина</t>
  </si>
  <si>
    <t>31.08.40</t>
  </si>
  <si>
    <t>Мануальная терапия</t>
  </si>
  <si>
    <t>31.08.41</t>
  </si>
  <si>
    <t>Медико-социальная экспертиза</t>
  </si>
  <si>
    <t>31.08.42</t>
  </si>
  <si>
    <t>Неврология</t>
  </si>
  <si>
    <t>31.08.43</t>
  </si>
  <si>
    <t>Нефрология</t>
  </si>
  <si>
    <t>31.08.44</t>
  </si>
  <si>
    <t>Профпатология</t>
  </si>
  <si>
    <t>31.08.45</t>
  </si>
  <si>
    <t>Пульмонология</t>
  </si>
  <si>
    <t>31.08.46</t>
  </si>
  <si>
    <t>Ревматология</t>
  </si>
  <si>
    <t>31.08.47</t>
  </si>
  <si>
    <t>Рефлексотерапия</t>
  </si>
  <si>
    <t>31.08.48</t>
  </si>
  <si>
    <t>Скорая медицинская помощь</t>
  </si>
  <si>
    <t>31.08.49</t>
  </si>
  <si>
    <t>Терапия</t>
  </si>
  <si>
    <t>31.08.50</t>
  </si>
  <si>
    <t>Физиотерапия</t>
  </si>
  <si>
    <t>31.08.51</t>
  </si>
  <si>
    <t>Фтизиатрия</t>
  </si>
  <si>
    <t>31.08.52</t>
  </si>
  <si>
    <t>Остеопатия</t>
  </si>
  <si>
    <t>31.08.53</t>
  </si>
  <si>
    <t>Эндокринология</t>
  </si>
  <si>
    <t>31.08.54</t>
  </si>
  <si>
    <t>Общая врачебная практика (семейная медицина)</t>
  </si>
  <si>
    <t>31.08.55</t>
  </si>
  <si>
    <t>Колопроктология</t>
  </si>
  <si>
    <t>31.08.56</t>
  </si>
  <si>
    <t>Нейрохирургия</t>
  </si>
  <si>
    <t>31.08.57</t>
  </si>
  <si>
    <t>Онкология</t>
  </si>
  <si>
    <t>31.08.58</t>
  </si>
  <si>
    <t>Оториноларингология</t>
  </si>
  <si>
    <t>31.08.59</t>
  </si>
  <si>
    <t>Офтальмология</t>
  </si>
  <si>
    <t>31.08.60</t>
  </si>
  <si>
    <t>Пластическая хирургия</t>
  </si>
  <si>
    <t>31.08.61</t>
  </si>
  <si>
    <t>Радиотерапия</t>
  </si>
  <si>
    <t>31.08.62</t>
  </si>
  <si>
    <t>Рентгенэндоваскулярные диагностика и лечение</t>
  </si>
  <si>
    <t>31.08.63</t>
  </si>
  <si>
    <t>Сердечно-сосудистая хирургия</t>
  </si>
  <si>
    <t>31.08.64</t>
  </si>
  <si>
    <t>Сурдология-оториноларингология</t>
  </si>
  <si>
    <t>31.08.65</t>
  </si>
  <si>
    <t>Торакальная хирургия</t>
  </si>
  <si>
    <t>31.08.66</t>
  </si>
  <si>
    <t>Травматология и ортопедия</t>
  </si>
  <si>
    <t>31.08.67</t>
  </si>
  <si>
    <t>Хирургия</t>
  </si>
  <si>
    <t>31.08.68</t>
  </si>
  <si>
    <t>Урология</t>
  </si>
  <si>
    <t>31.08.69</t>
  </si>
  <si>
    <t>Челюстно-лицевая хирургия</t>
  </si>
  <si>
    <t>31.08.70</t>
  </si>
  <si>
    <t>Эндоскопия</t>
  </si>
  <si>
    <t>31.08.71</t>
  </si>
  <si>
    <t>Организация здравоохранения и общественное здоровье</t>
  </si>
  <si>
    <t>31.08.72</t>
  </si>
  <si>
    <t>Стоматология общей практики</t>
  </si>
  <si>
    <t>31.08.73</t>
  </si>
  <si>
    <t>Стоматология терапевтическая</t>
  </si>
  <si>
    <t>31.08.74</t>
  </si>
  <si>
    <t>Стоматология хирургическая</t>
  </si>
  <si>
    <t>31.08.75</t>
  </si>
  <si>
    <t>Стоматология ортопедическая</t>
  </si>
  <si>
    <t>31.08.76</t>
  </si>
  <si>
    <t>Стоматология детская</t>
  </si>
  <si>
    <t>31.08.77</t>
  </si>
  <si>
    <t>Ортодонтия</t>
  </si>
  <si>
    <t>32.00.00</t>
  </si>
  <si>
    <t>НАУКИ О ЗДОРОВЬЕ И ПРОФИЛАКТИЧЕСКАЯ МЕДИЦИНА</t>
  </si>
  <si>
    <t>32.04.01</t>
  </si>
  <si>
    <t>Общественное здравоохранение</t>
  </si>
  <si>
    <t>32.05.01</t>
  </si>
  <si>
    <t>Медико-профилактическое дело</t>
  </si>
  <si>
    <t>32.06.01</t>
  </si>
  <si>
    <t>32.07.01</t>
  </si>
  <si>
    <t>32.08.01</t>
  </si>
  <si>
    <t>Гигиена детей и подростков</t>
  </si>
  <si>
    <t>32.08.02</t>
  </si>
  <si>
    <t>Гигиена питания</t>
  </si>
  <si>
    <t>32.08.03</t>
  </si>
  <si>
    <t>Гигиена труда</t>
  </si>
  <si>
    <t>32.08.04</t>
  </si>
  <si>
    <t>Гигиеническое воспитание</t>
  </si>
  <si>
    <t>32.08.05</t>
  </si>
  <si>
    <t>Дезинфектология</t>
  </si>
  <si>
    <t>32.08.06</t>
  </si>
  <si>
    <t>Коммунальная гигиена</t>
  </si>
  <si>
    <t>32.08.07</t>
  </si>
  <si>
    <t>Общая гигиена</t>
  </si>
  <si>
    <t>32.08.08</t>
  </si>
  <si>
    <t>Паразитология</t>
  </si>
  <si>
    <t>32.08.09</t>
  </si>
  <si>
    <t>Радиационная гигиена</t>
  </si>
  <si>
    <t>32.08.10</t>
  </si>
  <si>
    <t>Санитарно-гигиенические лабораторные исследования</t>
  </si>
  <si>
    <t>32.08.11</t>
  </si>
  <si>
    <t>Социальная гигиена и организация госсанэпидслужбы</t>
  </si>
  <si>
    <t>32.08.12</t>
  </si>
  <si>
    <t>Эпидемиология</t>
  </si>
  <si>
    <t>32.08.13</t>
  </si>
  <si>
    <t>Вирусология</t>
  </si>
  <si>
    <t>32.08.14</t>
  </si>
  <si>
    <t>Бактериология</t>
  </si>
  <si>
    <t>33.00.00</t>
  </si>
  <si>
    <t>ФАРМАЦИЯ</t>
  </si>
  <si>
    <t>33.02.01</t>
  </si>
  <si>
    <t>Фармация</t>
  </si>
  <si>
    <t>33.05.01</t>
  </si>
  <si>
    <t>33.06.01</t>
  </si>
  <si>
    <t>33.07.01</t>
  </si>
  <si>
    <t>33.08.01</t>
  </si>
  <si>
    <t>Фармацевтическая технология</t>
  </si>
  <si>
    <t>33.08.02</t>
  </si>
  <si>
    <t>Управление и экономика фармации</t>
  </si>
  <si>
    <t>33.08.03</t>
  </si>
  <si>
    <t>Фармацевимческая химия и фармакогнозия</t>
  </si>
  <si>
    <t>34.00.00</t>
  </si>
  <si>
    <t>СЕСТРИНСКОЕ ДЕЛО</t>
  </si>
  <si>
    <t>34.02.01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</si>
  <si>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</si>
  <si>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</si>
  <si>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</si>
  <si>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34.03.01</t>
  </si>
  <si>
    <t>35.00.00</t>
  </si>
  <si>
    <t>СЕЛЬСКОЕ, ЛЕСНОЕ И РЫБНОЕ ХОЗЯЙСТВО</t>
  </si>
  <si>
    <t>35.02.01</t>
  </si>
  <si>
    <t>Лесное и лесопарковое хозяйство</t>
  </si>
  <si>
    <t>35.02.02</t>
  </si>
  <si>
    <t>Технология лесозаготовок</t>
  </si>
  <si>
    <t>35.02.05</t>
  </si>
  <si>
    <t>Агрономия</t>
  </si>
  <si>
    <t>35.02.11</t>
  </si>
  <si>
    <t>Промышленное рыболовство</t>
  </si>
  <si>
    <t>35.02.12</t>
  </si>
  <si>
    <t>Садово-парковое и ландшафтное строительство</t>
  </si>
  <si>
    <t>35.02.14</t>
  </si>
  <si>
    <t>Охотоведение и звероводство</t>
  </si>
  <si>
    <t>35.02.15</t>
  </si>
  <si>
    <t>Кинология</t>
  </si>
  <si>
    <t>35.03.01</t>
  </si>
  <si>
    <t>Лесное дело</t>
  </si>
  <si>
    <t>Технология лесозаготовительных и деревоперерабатывающих производств</t>
  </si>
  <si>
    <t>Агрохимия и агропочвоведение</t>
  </si>
  <si>
    <t>35.03.04</t>
  </si>
  <si>
    <t>35.03.05</t>
  </si>
  <si>
    <t>Садоводство</t>
  </si>
  <si>
    <t>Агроинженерия</t>
  </si>
  <si>
    <t>35.03.07</t>
  </si>
  <si>
    <t>Технология производства и переработки сельскохозяйственной продукции</t>
  </si>
  <si>
    <t>35.03.08</t>
  </si>
  <si>
    <t>Водные биоресурсы и аквакультура</t>
  </si>
  <si>
    <t>35.03.10</t>
  </si>
  <si>
    <t>Ландшафтная архитектура</t>
  </si>
  <si>
    <t>35.04.01</t>
  </si>
  <si>
    <t>35.04.03</t>
  </si>
  <si>
    <t>35.04.09</t>
  </si>
  <si>
    <t>35.06.01</t>
  </si>
  <si>
    <t>Сельское хозяйство</t>
  </si>
  <si>
    <t>35.06.02</t>
  </si>
  <si>
    <t>35.06.03</t>
  </si>
  <si>
    <t>Рыбное хозяйство</t>
  </si>
  <si>
    <t>35.06.04</t>
  </si>
  <si>
    <t>Технологии, средства механизации и энергетическое оборудование в сельском, лесном и рыбном хозяйстве</t>
  </si>
  <si>
    <t>36.00.00</t>
  </si>
  <si>
    <t>ВЕТЕРИНАРИЯ И ЗООТЕХНИЯ</t>
  </si>
  <si>
    <t>36.01.01</t>
  </si>
  <si>
    <t>Младший ветеринарный фельдшер</t>
  </si>
  <si>
    <t>36.02.01</t>
  </si>
  <si>
    <t>Ветеринария</t>
  </si>
  <si>
    <t>36.02.02</t>
  </si>
  <si>
    <t>Зоотехния</t>
  </si>
  <si>
    <t>36.03.01</t>
  </si>
  <si>
    <t>Ветеринарно-санитарная экспертиза</t>
  </si>
  <si>
    <t>36.03.02</t>
  </si>
  <si>
    <t>36.04.01</t>
  </si>
  <si>
    <t>36.04.02</t>
  </si>
  <si>
    <t>36.05.01</t>
  </si>
  <si>
    <t>36.06.01</t>
  </si>
  <si>
    <t>Ветеринария и зоотехния</t>
  </si>
  <si>
    <t>37.00.00</t>
  </si>
  <si>
    <t>ПСИХОЛОГИЧЕСКИЕ НАУКИ</t>
  </si>
  <si>
    <t>37.03.01</t>
  </si>
  <si>
    <t>Психология</t>
  </si>
  <si>
    <t>37.03.02</t>
  </si>
  <si>
    <t>Конфликтология</t>
  </si>
  <si>
    <t>37.06.01</t>
  </si>
  <si>
    <t>Психологические науки</t>
  </si>
  <si>
    <t>38.00.00</t>
  </si>
  <si>
    <t>ЭКОНОМИКА И УПРАВЛЕНИЕ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</si>
  <si>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</si>
  <si>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</si>
  <si>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</si>
  <si>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</si>
  <si>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</si>
  <si>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</si>
  <si>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</si>
  <si>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</si>
  <si>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</si>
  <si>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</si>
  <si>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</si>
  <si>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</si>
  <si>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</si>
  <si>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38.03.02</t>
  </si>
  <si>
    <t>Менеджмент</t>
  </si>
  <si>
    <t>38.03.03</t>
  </si>
  <si>
    <t>Управление персоналом</t>
  </si>
  <si>
    <t>38.03.04</t>
  </si>
  <si>
    <t>Государственное и муниципальное управление</t>
  </si>
  <si>
    <t>38.03.05</t>
  </si>
  <si>
    <t>Бизнес-информатика</t>
  </si>
  <si>
    <t>38.03.06</t>
  </si>
  <si>
    <t>Торговое дело</t>
  </si>
  <si>
    <t>Товароведение</t>
  </si>
  <si>
    <t>38.03.10</t>
  </si>
  <si>
    <t>Жилищное хозяйство и коммунальная инфраструктура</t>
  </si>
  <si>
    <t>38.04.01</t>
  </si>
  <si>
    <t>38.04.03</t>
  </si>
  <si>
    <t>38.04.04</t>
  </si>
  <si>
    <t>38.04.05</t>
  </si>
  <si>
    <t>38.04.06</t>
  </si>
  <si>
    <t>38.04.07</t>
  </si>
  <si>
    <t>38.04.08</t>
  </si>
  <si>
    <t>Финансы и кредит</t>
  </si>
  <si>
    <t>38.04.09</t>
  </si>
  <si>
    <t>Государственный аудит</t>
  </si>
  <si>
    <t>38.04.10</t>
  </si>
  <si>
    <t>38.05.01</t>
  </si>
  <si>
    <t>Экономическая безопасность</t>
  </si>
  <si>
    <t>38.05.02</t>
  </si>
  <si>
    <t>Таможенное дело</t>
  </si>
  <si>
    <t>38.06.01</t>
  </si>
  <si>
    <t>38.07.02</t>
  </si>
  <si>
    <t>39.00.00</t>
  </si>
  <si>
    <t>СОЦИОЛОГИЯ И СОЦИАЛЬНАЯ РАБОТА</t>
  </si>
  <si>
    <t>39.02.01</t>
  </si>
  <si>
    <t>Социальная работа</t>
  </si>
  <si>
    <t>Социология</t>
  </si>
  <si>
    <t>39.03.02</t>
  </si>
  <si>
    <t>39.03.03</t>
  </si>
  <si>
    <t>Организация работы с молодежью</t>
  </si>
  <si>
    <t>39.04.01</t>
  </si>
  <si>
    <t>39.04.02</t>
  </si>
  <si>
    <t>39.06.01</t>
  </si>
  <si>
    <t>Социологические науки</t>
  </si>
  <si>
    <t>39.07.01</t>
  </si>
  <si>
    <t>40.00.00</t>
  </si>
  <si>
    <t>ЮРИСПРУДЕНЦИЯ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</si>
  <si>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</si>
  <si>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</si>
  <si>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</si>
  <si>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</si>
  <si>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</si>
  <si>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</si>
  <si>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40.03.01</t>
  </si>
  <si>
    <t>Юриспруденция</t>
  </si>
  <si>
    <t>40.04.01</t>
  </si>
  <si>
    <t>40.05.01</t>
  </si>
  <si>
    <t>Правовое обеспечение национальной безопасности</t>
  </si>
  <si>
    <t>40.05.02</t>
  </si>
  <si>
    <t>40.05.03</t>
  </si>
  <si>
    <t>Судебная экспертиза</t>
  </si>
  <si>
    <t>40.06.01</t>
  </si>
  <si>
    <t>41.00.00</t>
  </si>
  <si>
    <t>ПОЛИТИЧЕСКИЕ НАУКИ И РЕГИОНОВЕДЕНИЕ</t>
  </si>
  <si>
    <t>41.03.03</t>
  </si>
  <si>
    <t>Востоковедение и африканистика</t>
  </si>
  <si>
    <t>41.03.04</t>
  </si>
  <si>
    <t>Политология</t>
  </si>
  <si>
    <t>41.03.06</t>
  </si>
  <si>
    <t>Публичная политика и социальные науки</t>
  </si>
  <si>
    <t>41.06.01</t>
  </si>
  <si>
    <t>Политические науки и регионоведение</t>
  </si>
  <si>
    <t>41.07.01</t>
  </si>
  <si>
    <t>42.00.00</t>
  </si>
  <si>
    <t>СРЕДСТВА МАССОВОЙ ИНФОРМАЦИИ И ИНФОРМАЦИОННО-БИБЛИОТЕЧНОЕ ДЕЛО</t>
  </si>
  <si>
    <t>42.03.01</t>
  </si>
  <si>
    <t>Реклама и связи с общественностью</t>
  </si>
  <si>
    <t>42.03.02</t>
  </si>
  <si>
    <t>Журналистика</t>
  </si>
  <si>
    <t>42.03.03</t>
  </si>
  <si>
    <t>Издательское дело</t>
  </si>
  <si>
    <t>42.04.01</t>
  </si>
  <si>
    <t>42.06.01</t>
  </si>
  <si>
    <t>Средства массовой информации и информационно-библиотечное дело</t>
  </si>
  <si>
    <t>43.00.00</t>
  </si>
  <si>
    <t>СЕРВИС И ТУРИЗМ</t>
  </si>
  <si>
    <t>43.01.08</t>
  </si>
  <si>
    <t>Аппаратчик химической чистки</t>
  </si>
  <si>
    <t>43.01.09</t>
  </si>
  <si>
    <t>Повар, кондитер</t>
  </si>
  <si>
    <t>43.02.07</t>
  </si>
  <si>
    <t>Сервис по химической обработке изделий</t>
  </si>
  <si>
    <t>43.02.08</t>
  </si>
  <si>
    <t>Сервис домашнего и коммунального хозяйства</t>
  </si>
  <si>
    <t>Туризм</t>
  </si>
  <si>
    <t>43.02.12</t>
  </si>
  <si>
    <t>Технология эстетических услуг</t>
  </si>
  <si>
    <t>43.02.13</t>
  </si>
  <si>
    <t>Технология парикмахерского искусства</t>
  </si>
  <si>
    <t>43.02.14</t>
  </si>
  <si>
    <t>Гостиничное дело</t>
  </si>
  <si>
    <t>43.03.03</t>
  </si>
  <si>
    <t>43.04.03</t>
  </si>
  <si>
    <t>44.00.00</t>
  </si>
  <si>
    <t>ОБРАЗОВАНИЕ И ПЕДАГОГИЧЕСКИЕ НАУКИ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</si>
  <si>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</si>
  <si>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</si>
  <si>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</si>
  <si>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</si>
  <si>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</si>
  <si>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</si>
  <si>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44.03.01</t>
  </si>
  <si>
    <t>Педагогическое образование</t>
  </si>
  <si>
    <t>44.03.02</t>
  </si>
  <si>
    <t>Психолого-педагогическое образование</t>
  </si>
  <si>
    <t>44.03.03</t>
  </si>
  <si>
    <t>Специальное (дефектологическое) образование</t>
  </si>
  <si>
    <t>44.03.04</t>
  </si>
  <si>
    <t>Профессиональное обучение (по отраслям)</t>
  </si>
  <si>
    <t>44.03.05</t>
  </si>
  <si>
    <t>Педагогическое образование (с двумя профилями подготовки)</t>
  </si>
  <si>
    <t>44.04.01</t>
  </si>
  <si>
    <t>44.04.02</t>
  </si>
  <si>
    <t>44.04.03</t>
  </si>
  <si>
    <t>44.04.04</t>
  </si>
  <si>
    <t>44.05.01</t>
  </si>
  <si>
    <t>Педагогика и психология девиантного поведения</t>
  </si>
  <si>
    <t>44.06.01</t>
  </si>
  <si>
    <t>Образование и педагогические науки</t>
  </si>
  <si>
    <t>44.07.01</t>
  </si>
  <si>
    <t>44.07.02</t>
  </si>
  <si>
    <t>45.00.00</t>
  </si>
  <si>
    <t>ЯЗЫКОЗНАНИЕ И ЛИТЕРАТУРОВЕДЕНИЕ</t>
  </si>
  <si>
    <t>45.03.03</t>
  </si>
  <si>
    <t>Фундаментальная и прикладная лингвистика</t>
  </si>
  <si>
    <t>45.03.04</t>
  </si>
  <si>
    <t>Интеллектуальные системы в гуманитарной сфере</t>
  </si>
  <si>
    <t>45.04.04</t>
  </si>
  <si>
    <t>45.06.01</t>
  </si>
  <si>
    <t>Языкознание и литературоведение</t>
  </si>
  <si>
    <t>45.07.01</t>
  </si>
  <si>
    <t>46.00.00</t>
  </si>
  <si>
    <t>ИСТОРИЯ И АРХЕОЛОГИЯ</t>
  </si>
  <si>
    <t>46.03.01</t>
  </si>
  <si>
    <t>История</t>
  </si>
  <si>
    <t>46.03.02</t>
  </si>
  <si>
    <t>Документоведение и архивоведение</t>
  </si>
  <si>
    <t>46.04.01</t>
  </si>
  <si>
    <t>46.04.03</t>
  </si>
  <si>
    <t>Антропология и этнология</t>
  </si>
  <si>
    <t>46.06.01</t>
  </si>
  <si>
    <t>Исторические науки и археология</t>
  </si>
  <si>
    <t>47.00.00</t>
  </si>
  <si>
    <t>ФИЛОСОФИЯ, ЭТИКА И РЕЛИГИОВЕДЕНИЕ</t>
  </si>
  <si>
    <t>47.03.01</t>
  </si>
  <si>
    <t>Философия</t>
  </si>
  <si>
    <t>47.03.02</t>
  </si>
  <si>
    <t>Прикладная этика</t>
  </si>
  <si>
    <t>47.03.03</t>
  </si>
  <si>
    <t>Религиоведение</t>
  </si>
  <si>
    <t>47.04.01</t>
  </si>
  <si>
    <t>47.06.01</t>
  </si>
  <si>
    <t>Философия, этика и религиоведение</t>
  </si>
  <si>
    <t>47.07.01</t>
  </si>
  <si>
    <t>48.00.00</t>
  </si>
  <si>
    <t>ТЕОЛОГИЯ</t>
  </si>
  <si>
    <t>48.03.01</t>
  </si>
  <si>
    <t>Теология</t>
  </si>
  <si>
    <t>48.06.01</t>
  </si>
  <si>
    <t>49.00.00</t>
  </si>
  <si>
    <t>ФИЗИЧЕСКАЯ КУЛЬТУРА И СПОРТ</t>
  </si>
  <si>
    <t>49.03.01</t>
  </si>
  <si>
    <t>49.03.02</t>
  </si>
  <si>
    <t>Физическая культура для лиц с отклонениями в состоянии здоровья (адаптивная физическая культура)</t>
  </si>
  <si>
    <t>49.03.03</t>
  </si>
  <si>
    <t>Рекреация и спортивно-оздоровительный туризм</t>
  </si>
  <si>
    <t>49.04.01</t>
  </si>
  <si>
    <t>49.06.01</t>
  </si>
  <si>
    <t>Физическая культура и спорт</t>
  </si>
  <si>
    <t>49.07.01</t>
  </si>
  <si>
    <t>50.00.00</t>
  </si>
  <si>
    <t>ИСКУССТВОЗНАНИЕ</t>
  </si>
  <si>
    <t>50.03.01</t>
  </si>
  <si>
    <t>Искусства и гуманитарные науки</t>
  </si>
  <si>
    <t>50.06.01</t>
  </si>
  <si>
    <t>Исскуствоведение</t>
  </si>
  <si>
    <t>50.07.01</t>
  </si>
  <si>
    <t>51.00.00</t>
  </si>
  <si>
    <t>КУЛЬТУРОВЕДЕНИЕ И СОЦИОКУЛЬТУРНЫЕ ПРОЕКТЫ</t>
  </si>
  <si>
    <t>51.03.01</t>
  </si>
  <si>
    <t>Культурология</t>
  </si>
  <si>
    <t>51.03.04</t>
  </si>
  <si>
    <t>Музеология и охрана объектов культурного и природного наследия</t>
  </si>
  <si>
    <t>51.06.01</t>
  </si>
  <si>
    <t>52.00.00</t>
  </si>
  <si>
    <t>СЦЕНИЧЕСКИЕ ИСКУССТВА И ЛИТЕРАТУРНОЕ ТВОРЧЕСТВО</t>
  </si>
  <si>
    <t>52.09.01</t>
  </si>
  <si>
    <t>Искусство хореографии (по видам)</t>
  </si>
  <si>
    <t>52.09.02</t>
  </si>
  <si>
    <t>Актерское мастерство (по видам)</t>
  </si>
  <si>
    <t>52.09.03</t>
  </si>
  <si>
    <t>Сценическая речь</t>
  </si>
  <si>
    <t>52.09.04</t>
  </si>
  <si>
    <t>Сценическая пластика и танец</t>
  </si>
  <si>
    <t>52.09.05</t>
  </si>
  <si>
    <t>Искусство театральной режиссуры (по видам)</t>
  </si>
  <si>
    <t>52.09.06</t>
  </si>
  <si>
    <t>Сценография и театральная технология</t>
  </si>
  <si>
    <t>52.09.07</t>
  </si>
  <si>
    <t>Драматургия</t>
  </si>
  <si>
    <t>52.09.08</t>
  </si>
  <si>
    <t>Искусство словесности (по видам)</t>
  </si>
  <si>
    <t>53.00.00</t>
  </si>
  <si>
    <t>МУЗЫКАЛЬНОЕ ИСКУССТВО</t>
  </si>
  <si>
    <t>53.09.01</t>
  </si>
  <si>
    <t>Искусство музыкально-инструментального
исполнительства (по видам)</t>
  </si>
  <si>
    <t>53.09.02</t>
  </si>
  <si>
    <t>Искусство вокального исполнительства (по видам)</t>
  </si>
  <si>
    <t>53.09.03</t>
  </si>
  <si>
    <t>Искусство композиции</t>
  </si>
  <si>
    <t>53.09.04</t>
  </si>
  <si>
    <t>Мастерство музыкальной звукорежиссуры</t>
  </si>
  <si>
    <t>53.09.05</t>
  </si>
  <si>
    <t>Искусство дирижирования (по видам)</t>
  </si>
  <si>
    <t>54.00.00</t>
  </si>
  <si>
    <t>ИЗОБРАЗИТЕЛЬНОЕ И ПРИКЛАДНЫЕ ВИДЫ ИСКУССТВ</t>
  </si>
  <si>
    <t>54.03.01</t>
  </si>
  <si>
    <t>Дизайн</t>
  </si>
  <si>
    <t>54.03.04</t>
  </si>
  <si>
    <t>Реставрация</t>
  </si>
  <si>
    <t>54.09.01</t>
  </si>
  <si>
    <t>Монументально-декоративное мастерство</t>
  </si>
  <si>
    <t>54.09.02</t>
  </si>
  <si>
    <t>Мастерство декоративно-прикладного искусства и народных промыслов (по видам)</t>
  </si>
  <si>
    <t>54.09.03</t>
  </si>
  <si>
    <t>Искусство дизайна (по видам)</t>
  </si>
  <si>
    <t>54.09.04</t>
  </si>
  <si>
    <t>Искусство живописи (по видам)</t>
  </si>
  <si>
    <t>54.09.05</t>
  </si>
  <si>
    <t>Искусство графики (по видам)</t>
  </si>
  <si>
    <t>54.09.06</t>
  </si>
  <si>
    <t>Искусство скульптуры</t>
  </si>
  <si>
    <t>54.09.07</t>
  </si>
  <si>
    <t>Искусство реставрации (по видам)</t>
  </si>
  <si>
    <t>55.00.00</t>
  </si>
  <si>
    <t>ЭКРАННЫЕ ИСКУССТВА</t>
  </si>
  <si>
    <t>55.09.01</t>
  </si>
  <si>
    <t>Режиссура аудиовизуальных искусств (по видам)</t>
  </si>
  <si>
    <t>55.09.02</t>
  </si>
  <si>
    <t>Операторское искусство (по видам)</t>
  </si>
  <si>
    <t>55.09.03</t>
  </si>
  <si>
    <t>Звукорежиссура аудиовизуальных искусств</t>
  </si>
  <si>
    <t>56.00.00</t>
  </si>
  <si>
    <t>ОБОРОНА И БЕЗОПАСНОСТЬ ГОСУДАРСТВА. ВОЕННЫЕ НАУКИ</t>
  </si>
  <si>
    <t>56.05.01</t>
  </si>
  <si>
    <t>Тыловое обеспечение</t>
  </si>
  <si>
    <t>56.05.02</t>
  </si>
  <si>
    <t>Радиационная, химическая и биологическая защита</t>
  </si>
  <si>
    <t>56.05.03</t>
  </si>
  <si>
    <t>Служебно-прикладная физическая подготовка</t>
  </si>
  <si>
    <t>56.05.04</t>
  </si>
  <si>
    <t>Управление персоналом (Вооруженные Силы РФ,другие войска, воинские формирования и приравненные к ним органы РФ)</t>
  </si>
  <si>
    <t>56.05.05</t>
  </si>
  <si>
    <t>Военная журналистика</t>
  </si>
  <si>
    <t>57.00.00</t>
  </si>
  <si>
    <t>ОБЕСПЕЧЕНИЕ ГОСУДАРСТВЕННОЙ БЕЗОПАСНОСТИ</t>
  </si>
  <si>
    <t>57.04.01</t>
  </si>
  <si>
    <t>Государственное управление в пограничной сфере</t>
  </si>
  <si>
    <t>57.05.01</t>
  </si>
  <si>
    <t>Пограничная деятельность</t>
  </si>
  <si>
    <t>57.05.02</t>
  </si>
  <si>
    <t>Государственная охрана</t>
  </si>
  <si>
    <t>57.05.03</t>
  </si>
  <si>
    <t>Технологическое обеспечение национальной безопасности и обороны</t>
  </si>
</sst>
</file>

<file path=xl/styles.xml><?xml version="1.0" encoding="utf-8"?>
<styleSheet xmlns="http://schemas.openxmlformats.org/spreadsheetml/2006/main">
  <numFmts count="1">
    <numFmt numFmtId="164" formatCode="[=0]&quot;&quot;;General"/>
  </numFmts>
  <fonts count="12">
    <font>
      <sz val="8"/>
      <name val="Arial"/>
    </font>
    <font>
      <b/>
      <sz val="11"/>
      <color rgb="FF000000"/>
      <name val="Calibri"/>
      <charset val="204"/>
    </font>
    <font>
      <b/>
      <sz val="16"/>
      <color rgb="FF000000"/>
      <name val="Calibri"/>
      <charset val="204"/>
    </font>
    <font>
      <b/>
      <u/>
      <sz val="11"/>
      <color rgb="FF000000"/>
      <name val="Calibri"/>
      <charset val="204"/>
    </font>
    <font>
      <sz val="11"/>
      <color rgb="FF000000"/>
      <name val="Calibri"/>
      <charset val="204"/>
    </font>
    <font>
      <u/>
      <sz val="11"/>
      <color rgb="FF0000FF"/>
      <name val="Calibri"/>
      <charset val="204"/>
    </font>
    <font>
      <sz val="8"/>
      <color rgb="FF000000"/>
      <name val="Arial"/>
      <charset val="204"/>
    </font>
    <font>
      <b/>
      <sz val="8"/>
      <color rgb="FF000000"/>
      <name val="Arial"/>
      <charset val="204"/>
    </font>
    <font>
      <u/>
      <sz val="8"/>
      <color rgb="FF0000FF"/>
      <name val="Calibri"/>
      <charset val="204"/>
    </font>
    <font>
      <b/>
      <sz val="12"/>
      <name val="Arial"/>
      <family val="2"/>
    </font>
    <font>
      <sz val="10"/>
      <name val="Arial"/>
      <family val="2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AD2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1" xfId="1" applyBorder="1" applyAlignment="1" applyProtection="1">
      <alignment horizontal="left" wrapText="1"/>
    </xf>
    <xf numFmtId="0" fontId="11" fillId="0" borderId="4" xfId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A1499"/>
  <sheetViews>
    <sheetView tabSelected="1" workbookViewId="0">
      <selection sqref="A1:E1"/>
    </sheetView>
  </sheetViews>
  <sheetFormatPr defaultColWidth="10.5" defaultRowHeight="11.45" customHeight="1"/>
  <cols>
    <col min="1" max="1" width="5.83203125" style="1" customWidth="1"/>
    <col min="2" max="2" width="13.83203125" style="1" customWidth="1"/>
    <col min="3" max="3" width="10.5" style="1" customWidth="1"/>
    <col min="4" max="4" width="53.5" style="1" customWidth="1"/>
    <col min="5" max="5" width="52.6640625" style="1" customWidth="1"/>
    <col min="6" max="6" width="21" style="1" customWidth="1"/>
    <col min="7" max="7" width="13" style="1" customWidth="1"/>
    <col min="8" max="8" width="19.33203125" style="1" customWidth="1"/>
    <col min="9" max="9" width="33.6640625" style="1" customWidth="1"/>
    <col min="10" max="10" width="6.33203125" style="1" customWidth="1"/>
    <col min="11" max="11" width="8.5" style="1" customWidth="1"/>
    <col min="12" max="12" width="8.1640625" style="1" customWidth="1"/>
    <col min="13" max="13" width="21.1640625" style="1" customWidth="1"/>
    <col min="14" max="14" width="43.5" style="1" customWidth="1"/>
    <col min="15" max="15" width="35.5" style="1" customWidth="1"/>
    <col min="16" max="16" width="34" style="1" customWidth="1"/>
    <col min="17" max="17" width="38.1640625" style="1" customWidth="1"/>
    <col min="18" max="19" width="10.5" style="1" customWidth="1"/>
    <col min="20" max="20" width="15.33203125" style="1" customWidth="1"/>
    <col min="21" max="21" width="15.1640625" style="1" customWidth="1"/>
    <col min="22" max="22" width="20.33203125" style="1" customWidth="1"/>
    <col min="23" max="23" width="55.83203125" style="1" customWidth="1"/>
    <col min="24" max="27" width="10.5" style="1" customWidth="1"/>
  </cols>
  <sheetData>
    <row r="1" spans="1:27" s="1" customFormat="1" ht="15" customHeight="1">
      <c r="A1" s="17" t="s">
        <v>0</v>
      </c>
      <c r="B1" s="17"/>
      <c r="C1" s="17"/>
      <c r="D1" s="17"/>
      <c r="E1" s="17"/>
      <c r="F1" s="18" t="s">
        <v>1</v>
      </c>
      <c r="G1" s="18"/>
      <c r="H1" s="18"/>
      <c r="I1" s="18"/>
      <c r="J1" s="20" t="s">
        <v>2</v>
      </c>
      <c r="K1" s="20"/>
      <c r="L1" s="20"/>
      <c r="M1" s="20"/>
      <c r="N1" s="20"/>
      <c r="O1" s="20"/>
    </row>
    <row r="2" spans="1:27" s="1" customFormat="1" ht="15" customHeight="1">
      <c r="A2" s="21" t="s">
        <v>3</v>
      </c>
      <c r="B2" s="21"/>
      <c r="C2" s="21"/>
      <c r="D2" s="21"/>
      <c r="E2" s="21"/>
      <c r="F2" s="19"/>
      <c r="G2" s="19"/>
      <c r="H2" s="19"/>
      <c r="I2" s="19"/>
      <c r="J2" s="22" t="s">
        <v>4</v>
      </c>
      <c r="K2" s="22"/>
      <c r="L2" s="22"/>
      <c r="M2" s="22"/>
      <c r="N2" s="22"/>
      <c r="O2" s="22"/>
    </row>
    <row r="3" spans="1:27" s="1" customFormat="1" ht="15" customHeight="1">
      <c r="A3" s="21" t="s">
        <v>5</v>
      </c>
      <c r="B3" s="21"/>
      <c r="C3" s="21"/>
      <c r="D3" s="21"/>
      <c r="E3" s="21"/>
      <c r="F3" s="19"/>
      <c r="G3" s="19"/>
      <c r="H3" s="19"/>
      <c r="I3" s="19"/>
      <c r="J3" s="23"/>
      <c r="K3" s="23"/>
      <c r="L3" s="23"/>
      <c r="M3" s="23"/>
      <c r="N3" s="23"/>
      <c r="O3" s="23"/>
    </row>
    <row r="4" spans="1:27" s="1" customFormat="1" ht="15" customHeight="1">
      <c r="A4" s="27" t="str">
        <f>HYPERLINK("mailto:books@infra-m.ru", "mailto:books@infra-m.ru")</f>
        <v>mailto:books@infra-m.ru</v>
      </c>
      <c r="B4" s="24"/>
      <c r="C4" s="24"/>
      <c r="D4" s="24"/>
      <c r="E4" s="24"/>
      <c r="F4" s="19"/>
      <c r="G4" s="19"/>
      <c r="H4" s="19"/>
      <c r="I4" s="19"/>
      <c r="J4" s="23"/>
      <c r="K4" s="23"/>
      <c r="L4" s="23"/>
      <c r="M4" s="23"/>
      <c r="N4" s="23"/>
      <c r="O4" s="23"/>
    </row>
    <row r="5" spans="1:27" s="1" customFormat="1" ht="15" customHeight="1">
      <c r="A5" s="27" t="str">
        <f>HYPERLINK("https://infra-m.ru", "https://infra-m.ru")</f>
        <v>https://infra-m.ru</v>
      </c>
      <c r="B5" s="24"/>
      <c r="C5" s="24"/>
      <c r="D5" s="24"/>
      <c r="E5" s="24"/>
      <c r="F5" s="19"/>
      <c r="G5" s="19"/>
      <c r="H5" s="19"/>
      <c r="I5" s="19"/>
      <c r="J5" s="23"/>
      <c r="K5" s="23"/>
      <c r="L5" s="23"/>
      <c r="M5" s="23"/>
      <c r="N5" s="23"/>
      <c r="O5" s="23"/>
    </row>
    <row r="6" spans="1:27" s="1" customFormat="1" ht="11.1" customHeight="1"/>
    <row r="7" spans="1:27" s="2" customFormat="1" ht="21.95" customHeight="1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  <c r="V7" s="3" t="s">
        <v>27</v>
      </c>
      <c r="W7" s="3" t="s">
        <v>28</v>
      </c>
      <c r="X7" s="3" t="s">
        <v>29</v>
      </c>
      <c r="Y7" s="3" t="s">
        <v>30</v>
      </c>
      <c r="Z7" s="3" t="s">
        <v>31</v>
      </c>
      <c r="AA7" s="3" t="s">
        <v>32</v>
      </c>
    </row>
    <row r="8" spans="1:27" s="4" customFormat="1" ht="51.95" customHeight="1">
      <c r="A8" s="5">
        <v>0</v>
      </c>
      <c r="B8" s="6" t="s">
        <v>33</v>
      </c>
      <c r="C8" s="7">
        <v>1770</v>
      </c>
      <c r="D8" s="8" t="s">
        <v>34</v>
      </c>
      <c r="E8" s="8" t="s">
        <v>35</v>
      </c>
      <c r="F8" s="8" t="s">
        <v>36</v>
      </c>
      <c r="G8" s="6" t="s">
        <v>37</v>
      </c>
      <c r="H8" s="6" t="s">
        <v>38</v>
      </c>
      <c r="I8" s="8" t="s">
        <v>39</v>
      </c>
      <c r="J8" s="9">
        <v>1</v>
      </c>
      <c r="K8" s="9">
        <v>384</v>
      </c>
      <c r="L8" s="9">
        <v>2024</v>
      </c>
      <c r="M8" s="8" t="s">
        <v>40</v>
      </c>
      <c r="N8" s="8" t="s">
        <v>41</v>
      </c>
      <c r="O8" s="8" t="s">
        <v>42</v>
      </c>
      <c r="P8" s="6" t="s">
        <v>43</v>
      </c>
      <c r="Q8" s="8" t="s">
        <v>44</v>
      </c>
      <c r="R8" s="10" t="s">
        <v>45</v>
      </c>
      <c r="S8" s="11"/>
      <c r="T8" s="6"/>
      <c r="U8" s="28" t="str">
        <f>HYPERLINK("https://media.infra-m.ru/2106/2106183/cover/2106183.jpg", "Обложка")</f>
        <v>Обложка</v>
      </c>
      <c r="V8" s="28" t="str">
        <f>HYPERLINK("https://znanium.com/catalog/product/2106183", "Ознакомиться")</f>
        <v>Ознакомиться</v>
      </c>
      <c r="W8" s="8" t="s">
        <v>46</v>
      </c>
      <c r="X8" s="6"/>
      <c r="Y8" s="6"/>
      <c r="Z8" s="6"/>
      <c r="AA8" s="6" t="s">
        <v>47</v>
      </c>
    </row>
    <row r="9" spans="1:27" s="4" customFormat="1" ht="51.95" customHeight="1">
      <c r="A9" s="5">
        <v>0</v>
      </c>
      <c r="B9" s="6" t="s">
        <v>48</v>
      </c>
      <c r="C9" s="13">
        <v>430</v>
      </c>
      <c r="D9" s="8" t="s">
        <v>49</v>
      </c>
      <c r="E9" s="8" t="s">
        <v>50</v>
      </c>
      <c r="F9" s="8" t="s">
        <v>51</v>
      </c>
      <c r="G9" s="6" t="s">
        <v>52</v>
      </c>
      <c r="H9" s="6" t="s">
        <v>38</v>
      </c>
      <c r="I9" s="8" t="s">
        <v>39</v>
      </c>
      <c r="J9" s="9">
        <v>1</v>
      </c>
      <c r="K9" s="9">
        <v>120</v>
      </c>
      <c r="L9" s="9">
        <v>2021</v>
      </c>
      <c r="M9" s="8" t="s">
        <v>53</v>
      </c>
      <c r="N9" s="8" t="s">
        <v>41</v>
      </c>
      <c r="O9" s="8" t="s">
        <v>54</v>
      </c>
      <c r="P9" s="6" t="s">
        <v>43</v>
      </c>
      <c r="Q9" s="8" t="s">
        <v>44</v>
      </c>
      <c r="R9" s="10" t="s">
        <v>55</v>
      </c>
      <c r="S9" s="11"/>
      <c r="T9" s="6"/>
      <c r="U9" s="28" t="str">
        <f>HYPERLINK("https://media.infra-m.ru/1238/1238968/cover/1238968.jpg", "Обложка")</f>
        <v>Обложка</v>
      </c>
      <c r="V9" s="28" t="str">
        <f>HYPERLINK("https://znanium.com/catalog/product/1238968", "Ознакомиться")</f>
        <v>Ознакомиться</v>
      </c>
      <c r="W9" s="8" t="s">
        <v>56</v>
      </c>
      <c r="X9" s="6"/>
      <c r="Y9" s="6"/>
      <c r="Z9" s="6"/>
      <c r="AA9" s="6" t="s">
        <v>57</v>
      </c>
    </row>
    <row r="10" spans="1:27" s="4" customFormat="1" ht="51.95" customHeight="1">
      <c r="A10" s="5">
        <v>0</v>
      </c>
      <c r="B10" s="6" t="s">
        <v>58</v>
      </c>
      <c r="C10" s="13">
        <v>834</v>
      </c>
      <c r="D10" s="8" t="s">
        <v>59</v>
      </c>
      <c r="E10" s="8" t="s">
        <v>60</v>
      </c>
      <c r="F10" s="8" t="s">
        <v>61</v>
      </c>
      <c r="G10" s="6" t="s">
        <v>37</v>
      </c>
      <c r="H10" s="6" t="s">
        <v>38</v>
      </c>
      <c r="I10" s="8" t="s">
        <v>62</v>
      </c>
      <c r="J10" s="9">
        <v>1</v>
      </c>
      <c r="K10" s="9">
        <v>180</v>
      </c>
      <c r="L10" s="9">
        <v>2024</v>
      </c>
      <c r="M10" s="8" t="s">
        <v>63</v>
      </c>
      <c r="N10" s="8" t="s">
        <v>41</v>
      </c>
      <c r="O10" s="8" t="s">
        <v>64</v>
      </c>
      <c r="P10" s="6" t="s">
        <v>65</v>
      </c>
      <c r="Q10" s="8" t="s">
        <v>66</v>
      </c>
      <c r="R10" s="10" t="s">
        <v>67</v>
      </c>
      <c r="S10" s="11" t="s">
        <v>68</v>
      </c>
      <c r="T10" s="6"/>
      <c r="U10" s="28" t="str">
        <f>HYPERLINK("https://media.infra-m.ru/2087/2087735/cover/2087735.jpg", "Обложка")</f>
        <v>Обложка</v>
      </c>
      <c r="V10" s="28" t="str">
        <f>HYPERLINK("https://znanium.com/catalog/product/1877808", "Ознакомиться")</f>
        <v>Ознакомиться</v>
      </c>
      <c r="W10" s="8" t="s">
        <v>69</v>
      </c>
      <c r="X10" s="6"/>
      <c r="Y10" s="6"/>
      <c r="Z10" s="6"/>
      <c r="AA10" s="6" t="s">
        <v>70</v>
      </c>
    </row>
    <row r="11" spans="1:27" s="4" customFormat="1" ht="42" customHeight="1">
      <c r="A11" s="5">
        <v>0</v>
      </c>
      <c r="B11" s="6" t="s">
        <v>71</v>
      </c>
      <c r="C11" s="7">
        <v>1200</v>
      </c>
      <c r="D11" s="8" t="s">
        <v>72</v>
      </c>
      <c r="E11" s="8" t="s">
        <v>73</v>
      </c>
      <c r="F11" s="8" t="s">
        <v>74</v>
      </c>
      <c r="G11" s="6" t="s">
        <v>52</v>
      </c>
      <c r="H11" s="6" t="s">
        <v>38</v>
      </c>
      <c r="I11" s="8" t="s">
        <v>39</v>
      </c>
      <c r="J11" s="9">
        <v>1</v>
      </c>
      <c r="K11" s="9">
        <v>266</v>
      </c>
      <c r="L11" s="9">
        <v>2023</v>
      </c>
      <c r="M11" s="8" t="s">
        <v>75</v>
      </c>
      <c r="N11" s="8" t="s">
        <v>41</v>
      </c>
      <c r="O11" s="8" t="s">
        <v>64</v>
      </c>
      <c r="P11" s="6" t="s">
        <v>43</v>
      </c>
      <c r="Q11" s="8" t="s">
        <v>44</v>
      </c>
      <c r="R11" s="10" t="s">
        <v>76</v>
      </c>
      <c r="S11" s="11"/>
      <c r="T11" s="6"/>
      <c r="U11" s="28" t="str">
        <f>HYPERLINK("https://media.infra-m.ru/2048/2048913/cover/2048913.jpg", "Обложка")</f>
        <v>Обложка</v>
      </c>
      <c r="V11" s="28" t="str">
        <f>HYPERLINK("https://znanium.com/catalog/product/2048913", "Ознакомиться")</f>
        <v>Ознакомиться</v>
      </c>
      <c r="W11" s="8" t="s">
        <v>77</v>
      </c>
      <c r="X11" s="6"/>
      <c r="Y11" s="6"/>
      <c r="Z11" s="6"/>
      <c r="AA11" s="6" t="s">
        <v>78</v>
      </c>
    </row>
    <row r="12" spans="1:27" s="4" customFormat="1" ht="51.95" customHeight="1">
      <c r="A12" s="5">
        <v>0</v>
      </c>
      <c r="B12" s="6" t="s">
        <v>79</v>
      </c>
      <c r="C12" s="13">
        <v>730</v>
      </c>
      <c r="D12" s="8" t="s">
        <v>80</v>
      </c>
      <c r="E12" s="8" t="s">
        <v>81</v>
      </c>
      <c r="F12" s="8" t="s">
        <v>82</v>
      </c>
      <c r="G12" s="6" t="s">
        <v>37</v>
      </c>
      <c r="H12" s="6" t="s">
        <v>38</v>
      </c>
      <c r="I12" s="8" t="s">
        <v>83</v>
      </c>
      <c r="J12" s="9">
        <v>1</v>
      </c>
      <c r="K12" s="9">
        <v>213</v>
      </c>
      <c r="L12" s="9">
        <v>2020</v>
      </c>
      <c r="M12" s="8" t="s">
        <v>84</v>
      </c>
      <c r="N12" s="8" t="s">
        <v>41</v>
      </c>
      <c r="O12" s="8" t="s">
        <v>64</v>
      </c>
      <c r="P12" s="6" t="s">
        <v>85</v>
      </c>
      <c r="Q12" s="8" t="s">
        <v>86</v>
      </c>
      <c r="R12" s="10" t="s">
        <v>87</v>
      </c>
      <c r="S12" s="11" t="s">
        <v>88</v>
      </c>
      <c r="T12" s="6" t="s">
        <v>89</v>
      </c>
      <c r="U12" s="28" t="str">
        <f>HYPERLINK("https://media.infra-m.ru/1117/1117820/cover/1117820.jpg", "Обложка")</f>
        <v>Обложка</v>
      </c>
      <c r="V12" s="28" t="str">
        <f>HYPERLINK("https://znanium.com/catalog/product/1903877", "Ознакомиться")</f>
        <v>Ознакомиться</v>
      </c>
      <c r="W12" s="8" t="s">
        <v>90</v>
      </c>
      <c r="X12" s="6"/>
      <c r="Y12" s="6"/>
      <c r="Z12" s="6"/>
      <c r="AA12" s="6" t="s">
        <v>91</v>
      </c>
    </row>
    <row r="13" spans="1:27" s="4" customFormat="1" ht="44.1" customHeight="1">
      <c r="A13" s="5">
        <v>0</v>
      </c>
      <c r="B13" s="6" t="s">
        <v>92</v>
      </c>
      <c r="C13" s="13">
        <v>940</v>
      </c>
      <c r="D13" s="8" t="s">
        <v>93</v>
      </c>
      <c r="E13" s="8" t="s">
        <v>94</v>
      </c>
      <c r="F13" s="8" t="s">
        <v>95</v>
      </c>
      <c r="G13" s="6" t="s">
        <v>52</v>
      </c>
      <c r="H13" s="6" t="s">
        <v>38</v>
      </c>
      <c r="I13" s="8" t="s">
        <v>39</v>
      </c>
      <c r="J13" s="9">
        <v>1</v>
      </c>
      <c r="K13" s="9">
        <v>203</v>
      </c>
      <c r="L13" s="9">
        <v>2024</v>
      </c>
      <c r="M13" s="8" t="s">
        <v>96</v>
      </c>
      <c r="N13" s="8" t="s">
        <v>41</v>
      </c>
      <c r="O13" s="8" t="s">
        <v>97</v>
      </c>
      <c r="P13" s="6" t="s">
        <v>43</v>
      </c>
      <c r="Q13" s="8" t="s">
        <v>44</v>
      </c>
      <c r="R13" s="10" t="s">
        <v>98</v>
      </c>
      <c r="S13" s="11"/>
      <c r="T13" s="6"/>
      <c r="U13" s="28" t="str">
        <f>HYPERLINK("https://media.infra-m.ru/1902/1902414/cover/1902414.jpg", "Обложка")</f>
        <v>Обложка</v>
      </c>
      <c r="V13" s="28" t="str">
        <f>HYPERLINK("https://znanium.com/catalog/product/1902414", "Ознакомиться")</f>
        <v>Ознакомиться</v>
      </c>
      <c r="W13" s="8" t="s">
        <v>99</v>
      </c>
      <c r="X13" s="6"/>
      <c r="Y13" s="6"/>
      <c r="Z13" s="6"/>
      <c r="AA13" s="6" t="s">
        <v>100</v>
      </c>
    </row>
    <row r="14" spans="1:27" s="4" customFormat="1" ht="51.95" customHeight="1">
      <c r="A14" s="5">
        <v>0</v>
      </c>
      <c r="B14" s="6" t="s">
        <v>101</v>
      </c>
      <c r="C14" s="13">
        <v>900</v>
      </c>
      <c r="D14" s="8" t="s">
        <v>102</v>
      </c>
      <c r="E14" s="8" t="s">
        <v>103</v>
      </c>
      <c r="F14" s="8" t="s">
        <v>104</v>
      </c>
      <c r="G14" s="6" t="s">
        <v>52</v>
      </c>
      <c r="H14" s="6" t="s">
        <v>38</v>
      </c>
      <c r="I14" s="8" t="s">
        <v>39</v>
      </c>
      <c r="J14" s="9">
        <v>1</v>
      </c>
      <c r="K14" s="9">
        <v>188</v>
      </c>
      <c r="L14" s="9">
        <v>2023</v>
      </c>
      <c r="M14" s="8" t="s">
        <v>105</v>
      </c>
      <c r="N14" s="8" t="s">
        <v>41</v>
      </c>
      <c r="O14" s="8" t="s">
        <v>64</v>
      </c>
      <c r="P14" s="6" t="s">
        <v>43</v>
      </c>
      <c r="Q14" s="8" t="s">
        <v>44</v>
      </c>
      <c r="R14" s="10" t="s">
        <v>106</v>
      </c>
      <c r="S14" s="11"/>
      <c r="T14" s="6"/>
      <c r="U14" s="28" t="str">
        <f>HYPERLINK("https://media.infra-m.ru/1876/1876806/cover/1876806.jpg", "Обложка")</f>
        <v>Обложка</v>
      </c>
      <c r="V14" s="28" t="str">
        <f>HYPERLINK("https://znanium.com/catalog/product/1876806", "Ознакомиться")</f>
        <v>Ознакомиться</v>
      </c>
      <c r="W14" s="8" t="s">
        <v>107</v>
      </c>
      <c r="X14" s="6"/>
      <c r="Y14" s="6"/>
      <c r="Z14" s="6"/>
      <c r="AA14" s="6" t="s">
        <v>108</v>
      </c>
    </row>
    <row r="15" spans="1:27" s="4" customFormat="1" ht="51.95" customHeight="1">
      <c r="A15" s="5">
        <v>0</v>
      </c>
      <c r="B15" s="6" t="s">
        <v>109</v>
      </c>
      <c r="C15" s="7">
        <v>1240</v>
      </c>
      <c r="D15" s="8" t="s">
        <v>110</v>
      </c>
      <c r="E15" s="8" t="s">
        <v>111</v>
      </c>
      <c r="F15" s="8" t="s">
        <v>112</v>
      </c>
      <c r="G15" s="6" t="s">
        <v>37</v>
      </c>
      <c r="H15" s="6" t="s">
        <v>38</v>
      </c>
      <c r="I15" s="8" t="s">
        <v>62</v>
      </c>
      <c r="J15" s="9">
        <v>1</v>
      </c>
      <c r="K15" s="9">
        <v>272</v>
      </c>
      <c r="L15" s="9">
        <v>2023</v>
      </c>
      <c r="M15" s="8" t="s">
        <v>113</v>
      </c>
      <c r="N15" s="8" t="s">
        <v>41</v>
      </c>
      <c r="O15" s="8" t="s">
        <v>54</v>
      </c>
      <c r="P15" s="6" t="s">
        <v>65</v>
      </c>
      <c r="Q15" s="8" t="s">
        <v>66</v>
      </c>
      <c r="R15" s="10" t="s">
        <v>114</v>
      </c>
      <c r="S15" s="11" t="s">
        <v>115</v>
      </c>
      <c r="T15" s="6"/>
      <c r="U15" s="28" t="str">
        <f>HYPERLINK("https://media.infra-m.ru/1907/1907684/cover/1907684.jpg", "Обложка")</f>
        <v>Обложка</v>
      </c>
      <c r="V15" s="28" t="str">
        <f>HYPERLINK("https://znanium.com/catalog/product/1907684", "Ознакомиться")</f>
        <v>Ознакомиться</v>
      </c>
      <c r="W15" s="8" t="s">
        <v>116</v>
      </c>
      <c r="X15" s="6"/>
      <c r="Y15" s="6"/>
      <c r="Z15" s="6"/>
      <c r="AA15" s="6" t="s">
        <v>70</v>
      </c>
    </row>
    <row r="16" spans="1:27" s="4" customFormat="1" ht="51.95" customHeight="1">
      <c r="A16" s="5">
        <v>0</v>
      </c>
      <c r="B16" s="6" t="s">
        <v>117</v>
      </c>
      <c r="C16" s="13">
        <v>744</v>
      </c>
      <c r="D16" s="8" t="s">
        <v>118</v>
      </c>
      <c r="E16" s="8" t="s">
        <v>119</v>
      </c>
      <c r="F16" s="8" t="s">
        <v>120</v>
      </c>
      <c r="G16" s="6" t="s">
        <v>121</v>
      </c>
      <c r="H16" s="6" t="s">
        <v>122</v>
      </c>
      <c r="I16" s="8"/>
      <c r="J16" s="9">
        <v>1</v>
      </c>
      <c r="K16" s="9">
        <v>160</v>
      </c>
      <c r="L16" s="9">
        <v>2024</v>
      </c>
      <c r="M16" s="8" t="s">
        <v>123</v>
      </c>
      <c r="N16" s="8" t="s">
        <v>41</v>
      </c>
      <c r="O16" s="8" t="s">
        <v>54</v>
      </c>
      <c r="P16" s="6" t="s">
        <v>65</v>
      </c>
      <c r="Q16" s="8" t="s">
        <v>66</v>
      </c>
      <c r="R16" s="10" t="s">
        <v>124</v>
      </c>
      <c r="S16" s="11"/>
      <c r="T16" s="6"/>
      <c r="U16" s="28" t="str">
        <f>HYPERLINK("https://media.infra-m.ru/2006/2006838/cover/2006838.jpg", "Обложка")</f>
        <v>Обложка</v>
      </c>
      <c r="V16" s="28" t="str">
        <f>HYPERLINK("https://znanium.com/catalog/product/1002027", "Ознакомиться")</f>
        <v>Ознакомиться</v>
      </c>
      <c r="W16" s="8" t="s">
        <v>125</v>
      </c>
      <c r="X16" s="6"/>
      <c r="Y16" s="6"/>
      <c r="Z16" s="6"/>
      <c r="AA16" s="6" t="s">
        <v>91</v>
      </c>
    </row>
    <row r="17" spans="1:27" s="4" customFormat="1" ht="51.95" customHeight="1">
      <c r="A17" s="5">
        <v>0</v>
      </c>
      <c r="B17" s="6" t="s">
        <v>126</v>
      </c>
      <c r="C17" s="7">
        <v>1590</v>
      </c>
      <c r="D17" s="8" t="s">
        <v>127</v>
      </c>
      <c r="E17" s="8" t="s">
        <v>128</v>
      </c>
      <c r="F17" s="8" t="s">
        <v>129</v>
      </c>
      <c r="G17" s="6" t="s">
        <v>37</v>
      </c>
      <c r="H17" s="6" t="s">
        <v>38</v>
      </c>
      <c r="I17" s="8" t="s">
        <v>130</v>
      </c>
      <c r="J17" s="9">
        <v>1</v>
      </c>
      <c r="K17" s="9">
        <v>339</v>
      </c>
      <c r="L17" s="9">
        <v>2024</v>
      </c>
      <c r="M17" s="8" t="s">
        <v>131</v>
      </c>
      <c r="N17" s="8" t="s">
        <v>41</v>
      </c>
      <c r="O17" s="8" t="s">
        <v>64</v>
      </c>
      <c r="P17" s="6" t="s">
        <v>85</v>
      </c>
      <c r="Q17" s="8" t="s">
        <v>132</v>
      </c>
      <c r="R17" s="10" t="s">
        <v>76</v>
      </c>
      <c r="S17" s="11" t="s">
        <v>133</v>
      </c>
      <c r="T17" s="6"/>
      <c r="U17" s="28" t="str">
        <f>HYPERLINK("https://media.infra-m.ru/2109/2109538/cover/2109538.jpg", "Обложка")</f>
        <v>Обложка</v>
      </c>
      <c r="V17" s="28" t="str">
        <f>HYPERLINK("https://znanium.com/catalog/product/2109538", "Ознакомиться")</f>
        <v>Ознакомиться</v>
      </c>
      <c r="W17" s="8" t="s">
        <v>134</v>
      </c>
      <c r="X17" s="6"/>
      <c r="Y17" s="6"/>
      <c r="Z17" s="6"/>
      <c r="AA17" s="6" t="s">
        <v>135</v>
      </c>
    </row>
    <row r="18" spans="1:27" s="4" customFormat="1" ht="51.95" customHeight="1">
      <c r="A18" s="5">
        <v>0</v>
      </c>
      <c r="B18" s="6" t="s">
        <v>136</v>
      </c>
      <c r="C18" s="7">
        <v>2284</v>
      </c>
      <c r="D18" s="8" t="s">
        <v>137</v>
      </c>
      <c r="E18" s="8" t="s">
        <v>138</v>
      </c>
      <c r="F18" s="8" t="s">
        <v>139</v>
      </c>
      <c r="G18" s="6" t="s">
        <v>121</v>
      </c>
      <c r="H18" s="6" t="s">
        <v>38</v>
      </c>
      <c r="I18" s="8" t="s">
        <v>62</v>
      </c>
      <c r="J18" s="9">
        <v>1</v>
      </c>
      <c r="K18" s="9">
        <v>496</v>
      </c>
      <c r="L18" s="9">
        <v>2023</v>
      </c>
      <c r="M18" s="8" t="s">
        <v>140</v>
      </c>
      <c r="N18" s="8" t="s">
        <v>41</v>
      </c>
      <c r="O18" s="8" t="s">
        <v>54</v>
      </c>
      <c r="P18" s="6" t="s">
        <v>65</v>
      </c>
      <c r="Q18" s="8" t="s">
        <v>66</v>
      </c>
      <c r="R18" s="10" t="s">
        <v>141</v>
      </c>
      <c r="S18" s="11" t="s">
        <v>142</v>
      </c>
      <c r="T18" s="6"/>
      <c r="U18" s="28" t="str">
        <f>HYPERLINK("https://media.infra-m.ru/1913/1913695/cover/1913695.jpg", "Обложка")</f>
        <v>Обложка</v>
      </c>
      <c r="V18" s="28" t="str">
        <f>HYPERLINK("https://znanium.com/catalog/product/1567547", "Ознакомиться")</f>
        <v>Ознакомиться</v>
      </c>
      <c r="W18" s="8" t="s">
        <v>143</v>
      </c>
      <c r="X18" s="6"/>
      <c r="Y18" s="6"/>
      <c r="Z18" s="6"/>
      <c r="AA18" s="6" t="s">
        <v>144</v>
      </c>
    </row>
    <row r="19" spans="1:27" s="4" customFormat="1" ht="51.95" customHeight="1">
      <c r="A19" s="5">
        <v>0</v>
      </c>
      <c r="B19" s="6" t="s">
        <v>145</v>
      </c>
      <c r="C19" s="7">
        <v>2440</v>
      </c>
      <c r="D19" s="8" t="s">
        <v>146</v>
      </c>
      <c r="E19" s="8" t="s">
        <v>147</v>
      </c>
      <c r="F19" s="8" t="s">
        <v>148</v>
      </c>
      <c r="G19" s="6" t="s">
        <v>121</v>
      </c>
      <c r="H19" s="6" t="s">
        <v>38</v>
      </c>
      <c r="I19" s="8" t="s">
        <v>62</v>
      </c>
      <c r="J19" s="9">
        <v>1</v>
      </c>
      <c r="K19" s="9">
        <v>542</v>
      </c>
      <c r="L19" s="9">
        <v>2023</v>
      </c>
      <c r="M19" s="8" t="s">
        <v>149</v>
      </c>
      <c r="N19" s="8" t="s">
        <v>41</v>
      </c>
      <c r="O19" s="8" t="s">
        <v>97</v>
      </c>
      <c r="P19" s="6" t="s">
        <v>65</v>
      </c>
      <c r="Q19" s="8" t="s">
        <v>66</v>
      </c>
      <c r="R19" s="10" t="s">
        <v>150</v>
      </c>
      <c r="S19" s="11" t="s">
        <v>151</v>
      </c>
      <c r="T19" s="6"/>
      <c r="U19" s="28" t="str">
        <f>HYPERLINK("https://media.infra-m.ru/1940/1940916/cover/1940916.jpg", "Обложка")</f>
        <v>Обложка</v>
      </c>
      <c r="V19" s="28" t="str">
        <f>HYPERLINK("https://znanium.com/catalog/product/1940916", "Ознакомиться")</f>
        <v>Ознакомиться</v>
      </c>
      <c r="W19" s="8" t="s">
        <v>152</v>
      </c>
      <c r="X19" s="6"/>
      <c r="Y19" s="6"/>
      <c r="Z19" s="6"/>
      <c r="AA19" s="6" t="s">
        <v>153</v>
      </c>
    </row>
    <row r="20" spans="1:27" s="4" customFormat="1" ht="51.95" customHeight="1">
      <c r="A20" s="5">
        <v>0</v>
      </c>
      <c r="B20" s="6" t="s">
        <v>154</v>
      </c>
      <c r="C20" s="13">
        <v>744.9</v>
      </c>
      <c r="D20" s="8" t="s">
        <v>155</v>
      </c>
      <c r="E20" s="8" t="s">
        <v>156</v>
      </c>
      <c r="F20" s="8" t="s">
        <v>157</v>
      </c>
      <c r="G20" s="6" t="s">
        <v>121</v>
      </c>
      <c r="H20" s="6" t="s">
        <v>38</v>
      </c>
      <c r="I20" s="8" t="s">
        <v>130</v>
      </c>
      <c r="J20" s="9">
        <v>1</v>
      </c>
      <c r="K20" s="9">
        <v>206</v>
      </c>
      <c r="L20" s="9">
        <v>2020</v>
      </c>
      <c r="M20" s="8" t="s">
        <v>158</v>
      </c>
      <c r="N20" s="8" t="s">
        <v>41</v>
      </c>
      <c r="O20" s="8" t="s">
        <v>97</v>
      </c>
      <c r="P20" s="6" t="s">
        <v>65</v>
      </c>
      <c r="Q20" s="8" t="s">
        <v>66</v>
      </c>
      <c r="R20" s="10" t="s">
        <v>159</v>
      </c>
      <c r="S20" s="11" t="s">
        <v>160</v>
      </c>
      <c r="T20" s="6"/>
      <c r="U20" s="28" t="str">
        <f>HYPERLINK("https://media.infra-m.ru/1039/1039164/cover/1039164.jpg", "Обложка")</f>
        <v>Обложка</v>
      </c>
      <c r="V20" s="28" t="str">
        <f>HYPERLINK("https://znanium.com/catalog/product/1915980", "Ознакомиться")</f>
        <v>Ознакомиться</v>
      </c>
      <c r="W20" s="8" t="s">
        <v>152</v>
      </c>
      <c r="X20" s="6"/>
      <c r="Y20" s="6" t="s">
        <v>30</v>
      </c>
      <c r="Z20" s="6"/>
      <c r="AA20" s="6" t="s">
        <v>161</v>
      </c>
    </row>
    <row r="21" spans="1:27" s="4" customFormat="1" ht="51.95" customHeight="1">
      <c r="A21" s="5">
        <v>0</v>
      </c>
      <c r="B21" s="6" t="s">
        <v>162</v>
      </c>
      <c r="C21" s="7">
        <v>1810</v>
      </c>
      <c r="D21" s="8" t="s">
        <v>163</v>
      </c>
      <c r="E21" s="8" t="s">
        <v>164</v>
      </c>
      <c r="F21" s="8" t="s">
        <v>165</v>
      </c>
      <c r="G21" s="6" t="s">
        <v>37</v>
      </c>
      <c r="H21" s="6" t="s">
        <v>38</v>
      </c>
      <c r="I21" s="8" t="s">
        <v>130</v>
      </c>
      <c r="J21" s="9">
        <v>1</v>
      </c>
      <c r="K21" s="9">
        <v>394</v>
      </c>
      <c r="L21" s="9">
        <v>2024</v>
      </c>
      <c r="M21" s="8" t="s">
        <v>166</v>
      </c>
      <c r="N21" s="8" t="s">
        <v>41</v>
      </c>
      <c r="O21" s="8" t="s">
        <v>97</v>
      </c>
      <c r="P21" s="6" t="s">
        <v>85</v>
      </c>
      <c r="Q21" s="8" t="s">
        <v>66</v>
      </c>
      <c r="R21" s="10" t="s">
        <v>167</v>
      </c>
      <c r="S21" s="11" t="s">
        <v>168</v>
      </c>
      <c r="T21" s="6"/>
      <c r="U21" s="28" t="str">
        <f>HYPERLINK("https://media.infra-m.ru/2084/2084155/cover/2084155.jpg", "Обложка")</f>
        <v>Обложка</v>
      </c>
      <c r="V21" s="28" t="str">
        <f>HYPERLINK("https://znanium.com/catalog/product/2084155", "Ознакомиться")</f>
        <v>Ознакомиться</v>
      </c>
      <c r="W21" s="8" t="s">
        <v>169</v>
      </c>
      <c r="X21" s="6"/>
      <c r="Y21" s="6"/>
      <c r="Z21" s="6"/>
      <c r="AA21" s="6" t="s">
        <v>70</v>
      </c>
    </row>
    <row r="22" spans="1:27" s="4" customFormat="1" ht="42" customHeight="1">
      <c r="A22" s="5">
        <v>0</v>
      </c>
      <c r="B22" s="6" t="s">
        <v>170</v>
      </c>
      <c r="C22" s="13">
        <v>894.9</v>
      </c>
      <c r="D22" s="8" t="s">
        <v>171</v>
      </c>
      <c r="E22" s="8" t="s">
        <v>172</v>
      </c>
      <c r="F22" s="8" t="s">
        <v>173</v>
      </c>
      <c r="G22" s="6" t="s">
        <v>121</v>
      </c>
      <c r="H22" s="6" t="s">
        <v>38</v>
      </c>
      <c r="I22" s="8" t="s">
        <v>62</v>
      </c>
      <c r="J22" s="9">
        <v>1</v>
      </c>
      <c r="K22" s="9">
        <v>172</v>
      </c>
      <c r="L22" s="9">
        <v>2022</v>
      </c>
      <c r="M22" s="8" t="s">
        <v>174</v>
      </c>
      <c r="N22" s="8" t="s">
        <v>41</v>
      </c>
      <c r="O22" s="8" t="s">
        <v>64</v>
      </c>
      <c r="P22" s="6" t="s">
        <v>65</v>
      </c>
      <c r="Q22" s="8" t="s">
        <v>66</v>
      </c>
      <c r="R22" s="10" t="s">
        <v>175</v>
      </c>
      <c r="S22" s="11"/>
      <c r="T22" s="6"/>
      <c r="U22" s="28" t="str">
        <f>HYPERLINK("https://media.infra-m.ru/1902/1902791/cover/1902791.jpg", "Обложка")</f>
        <v>Обложка</v>
      </c>
      <c r="V22" s="28" t="str">
        <f>HYPERLINK("https://znanium.com/catalog/product/1568658", "Ознакомиться")</f>
        <v>Ознакомиться</v>
      </c>
      <c r="W22" s="8"/>
      <c r="X22" s="6"/>
      <c r="Y22" s="6"/>
      <c r="Z22" s="6"/>
      <c r="AA22" s="6" t="s">
        <v>78</v>
      </c>
    </row>
    <row r="23" spans="1:27" s="4" customFormat="1" ht="51.95" customHeight="1">
      <c r="A23" s="5">
        <v>0</v>
      </c>
      <c r="B23" s="6" t="s">
        <v>176</v>
      </c>
      <c r="C23" s="7">
        <v>1590</v>
      </c>
      <c r="D23" s="8" t="s">
        <v>177</v>
      </c>
      <c r="E23" s="8" t="s">
        <v>178</v>
      </c>
      <c r="F23" s="8" t="s">
        <v>179</v>
      </c>
      <c r="G23" s="6" t="s">
        <v>37</v>
      </c>
      <c r="H23" s="6" t="s">
        <v>38</v>
      </c>
      <c r="I23" s="8" t="s">
        <v>62</v>
      </c>
      <c r="J23" s="9">
        <v>1</v>
      </c>
      <c r="K23" s="9">
        <v>352</v>
      </c>
      <c r="L23" s="9">
        <v>2023</v>
      </c>
      <c r="M23" s="8" t="s">
        <v>180</v>
      </c>
      <c r="N23" s="8" t="s">
        <v>41</v>
      </c>
      <c r="O23" s="8" t="s">
        <v>181</v>
      </c>
      <c r="P23" s="6" t="s">
        <v>85</v>
      </c>
      <c r="Q23" s="8" t="s">
        <v>66</v>
      </c>
      <c r="R23" s="10" t="s">
        <v>182</v>
      </c>
      <c r="S23" s="11" t="s">
        <v>183</v>
      </c>
      <c r="T23" s="6"/>
      <c r="U23" s="28" t="str">
        <f>HYPERLINK("https://media.infra-m.ru/1913/1913978/cover/1913978.jpg", "Обложка")</f>
        <v>Обложка</v>
      </c>
      <c r="V23" s="28" t="str">
        <f>HYPERLINK("https://znanium.com/catalog/product/1913978", "Ознакомиться")</f>
        <v>Ознакомиться</v>
      </c>
      <c r="W23" s="8" t="s">
        <v>184</v>
      </c>
      <c r="X23" s="6"/>
      <c r="Y23" s="6"/>
      <c r="Z23" s="6"/>
      <c r="AA23" s="6" t="s">
        <v>100</v>
      </c>
    </row>
    <row r="24" spans="1:27" s="4" customFormat="1" ht="51.95" customHeight="1">
      <c r="A24" s="5">
        <v>0</v>
      </c>
      <c r="B24" s="6" t="s">
        <v>185</v>
      </c>
      <c r="C24" s="7">
        <v>1590</v>
      </c>
      <c r="D24" s="8" t="s">
        <v>186</v>
      </c>
      <c r="E24" s="8" t="s">
        <v>178</v>
      </c>
      <c r="F24" s="8" t="s">
        <v>179</v>
      </c>
      <c r="G24" s="6" t="s">
        <v>37</v>
      </c>
      <c r="H24" s="6" t="s">
        <v>38</v>
      </c>
      <c r="I24" s="8" t="s">
        <v>187</v>
      </c>
      <c r="J24" s="9">
        <v>1</v>
      </c>
      <c r="K24" s="9">
        <v>352</v>
      </c>
      <c r="L24" s="9">
        <v>2023</v>
      </c>
      <c r="M24" s="8" t="s">
        <v>188</v>
      </c>
      <c r="N24" s="8" t="s">
        <v>41</v>
      </c>
      <c r="O24" s="8" t="s">
        <v>181</v>
      </c>
      <c r="P24" s="6" t="s">
        <v>85</v>
      </c>
      <c r="Q24" s="8" t="s">
        <v>189</v>
      </c>
      <c r="R24" s="10" t="s">
        <v>190</v>
      </c>
      <c r="S24" s="11" t="s">
        <v>191</v>
      </c>
      <c r="T24" s="6"/>
      <c r="U24" s="28" t="str">
        <f>HYPERLINK("https://media.infra-m.ru/1922/1922244/cover/1922244.jpg", "Обложка")</f>
        <v>Обложка</v>
      </c>
      <c r="V24" s="28" t="str">
        <f>HYPERLINK("https://znanium.com/catalog/product/1922244", "Ознакомиться")</f>
        <v>Ознакомиться</v>
      </c>
      <c r="W24" s="8" t="s">
        <v>184</v>
      </c>
      <c r="X24" s="6"/>
      <c r="Y24" s="6"/>
      <c r="Z24" s="6" t="s">
        <v>192</v>
      </c>
      <c r="AA24" s="6" t="s">
        <v>193</v>
      </c>
    </row>
    <row r="25" spans="1:27" s="4" customFormat="1" ht="42" customHeight="1">
      <c r="A25" s="5">
        <v>0</v>
      </c>
      <c r="B25" s="6" t="s">
        <v>194</v>
      </c>
      <c r="C25" s="13">
        <v>39.9</v>
      </c>
      <c r="D25" s="8" t="s">
        <v>195</v>
      </c>
      <c r="E25" s="8" t="s">
        <v>196</v>
      </c>
      <c r="F25" s="8"/>
      <c r="G25" s="6" t="s">
        <v>26</v>
      </c>
      <c r="H25" s="6" t="s">
        <v>122</v>
      </c>
      <c r="I25" s="8" t="s">
        <v>197</v>
      </c>
      <c r="J25" s="9">
        <v>1</v>
      </c>
      <c r="K25" s="9">
        <v>71</v>
      </c>
      <c r="L25" s="9">
        <v>2015</v>
      </c>
      <c r="M25" s="8" t="s">
        <v>198</v>
      </c>
      <c r="N25" s="8" t="s">
        <v>41</v>
      </c>
      <c r="O25" s="8" t="s">
        <v>54</v>
      </c>
      <c r="P25" s="6" t="s">
        <v>199</v>
      </c>
      <c r="Q25" s="8" t="s">
        <v>200</v>
      </c>
      <c r="R25" s="10" t="s">
        <v>201</v>
      </c>
      <c r="S25" s="11"/>
      <c r="T25" s="6"/>
      <c r="U25" s="28" t="str">
        <f>HYPERLINK("https://media.infra-m.ru/0437/0437155/cover/437155.jpg", "Обложка")</f>
        <v>Обложка</v>
      </c>
      <c r="V25" s="28" t="str">
        <f>HYPERLINK("https://znanium.com/catalog/product/159413", "Ознакомиться")</f>
        <v>Ознакомиться</v>
      </c>
      <c r="W25" s="8"/>
      <c r="X25" s="6"/>
      <c r="Y25" s="6"/>
      <c r="Z25" s="6"/>
      <c r="AA25" s="6" t="s">
        <v>202</v>
      </c>
    </row>
    <row r="26" spans="1:27" s="4" customFormat="1" ht="42" customHeight="1">
      <c r="A26" s="5">
        <v>0</v>
      </c>
      <c r="B26" s="6" t="s">
        <v>203</v>
      </c>
      <c r="C26" s="7">
        <v>2084.9</v>
      </c>
      <c r="D26" s="8" t="s">
        <v>204</v>
      </c>
      <c r="E26" s="8" t="s">
        <v>205</v>
      </c>
      <c r="F26" s="8" t="s">
        <v>206</v>
      </c>
      <c r="G26" s="6" t="s">
        <v>121</v>
      </c>
      <c r="H26" s="6" t="s">
        <v>207</v>
      </c>
      <c r="I26" s="8"/>
      <c r="J26" s="9">
        <v>1</v>
      </c>
      <c r="K26" s="9">
        <v>496</v>
      </c>
      <c r="L26" s="9">
        <v>2023</v>
      </c>
      <c r="M26" s="8" t="s">
        <v>208</v>
      </c>
      <c r="N26" s="8" t="s">
        <v>41</v>
      </c>
      <c r="O26" s="8" t="s">
        <v>54</v>
      </c>
      <c r="P26" s="6" t="s">
        <v>65</v>
      </c>
      <c r="Q26" s="8" t="s">
        <v>66</v>
      </c>
      <c r="R26" s="10" t="s">
        <v>209</v>
      </c>
      <c r="S26" s="11"/>
      <c r="T26" s="6"/>
      <c r="U26" s="28" t="str">
        <f>HYPERLINK("https://media.infra-m.ru/1891/1891819/cover/1891819.jpg", "Обложка")</f>
        <v>Обложка</v>
      </c>
      <c r="V26" s="12"/>
      <c r="W26" s="8" t="s">
        <v>143</v>
      </c>
      <c r="X26" s="6"/>
      <c r="Y26" s="6"/>
      <c r="Z26" s="6"/>
      <c r="AA26" s="6" t="s">
        <v>100</v>
      </c>
    </row>
    <row r="27" spans="1:27" s="4" customFormat="1" ht="51.95" customHeight="1">
      <c r="A27" s="5">
        <v>0</v>
      </c>
      <c r="B27" s="6" t="s">
        <v>210</v>
      </c>
      <c r="C27" s="13">
        <v>670</v>
      </c>
      <c r="D27" s="8" t="s">
        <v>211</v>
      </c>
      <c r="E27" s="8" t="s">
        <v>212</v>
      </c>
      <c r="F27" s="8" t="s">
        <v>213</v>
      </c>
      <c r="G27" s="6" t="s">
        <v>52</v>
      </c>
      <c r="H27" s="6" t="s">
        <v>38</v>
      </c>
      <c r="I27" s="8" t="s">
        <v>39</v>
      </c>
      <c r="J27" s="9">
        <v>1</v>
      </c>
      <c r="K27" s="9">
        <v>190</v>
      </c>
      <c r="L27" s="9">
        <v>2020</v>
      </c>
      <c r="M27" s="8" t="s">
        <v>214</v>
      </c>
      <c r="N27" s="8" t="s">
        <v>41</v>
      </c>
      <c r="O27" s="8" t="s">
        <v>64</v>
      </c>
      <c r="P27" s="6" t="s">
        <v>43</v>
      </c>
      <c r="Q27" s="8" t="s">
        <v>44</v>
      </c>
      <c r="R27" s="10" t="s">
        <v>215</v>
      </c>
      <c r="S27" s="11"/>
      <c r="T27" s="6"/>
      <c r="U27" s="28" t="str">
        <f>HYPERLINK("https://media.infra-m.ru/1080/1080557/cover/1080557.jpg", "Обложка")</f>
        <v>Обложка</v>
      </c>
      <c r="V27" s="28" t="str">
        <f>HYPERLINK("https://znanium.com/catalog/product/1080557", "Ознакомиться")</f>
        <v>Ознакомиться</v>
      </c>
      <c r="W27" s="8" t="s">
        <v>216</v>
      </c>
      <c r="X27" s="6"/>
      <c r="Y27" s="6"/>
      <c r="Z27" s="6"/>
      <c r="AA27" s="6" t="s">
        <v>100</v>
      </c>
    </row>
    <row r="28" spans="1:27" s="4" customFormat="1" ht="51.95" customHeight="1">
      <c r="A28" s="5">
        <v>0</v>
      </c>
      <c r="B28" s="6" t="s">
        <v>217</v>
      </c>
      <c r="C28" s="13">
        <v>650</v>
      </c>
      <c r="D28" s="8" t="s">
        <v>218</v>
      </c>
      <c r="E28" s="8" t="s">
        <v>219</v>
      </c>
      <c r="F28" s="8" t="s">
        <v>220</v>
      </c>
      <c r="G28" s="6" t="s">
        <v>52</v>
      </c>
      <c r="H28" s="6" t="s">
        <v>38</v>
      </c>
      <c r="I28" s="8" t="s">
        <v>187</v>
      </c>
      <c r="J28" s="9">
        <v>1</v>
      </c>
      <c r="K28" s="9">
        <v>127</v>
      </c>
      <c r="L28" s="9">
        <v>2023</v>
      </c>
      <c r="M28" s="8" t="s">
        <v>221</v>
      </c>
      <c r="N28" s="8" t="s">
        <v>41</v>
      </c>
      <c r="O28" s="8" t="s">
        <v>54</v>
      </c>
      <c r="P28" s="6" t="s">
        <v>65</v>
      </c>
      <c r="Q28" s="8" t="s">
        <v>189</v>
      </c>
      <c r="R28" s="10" t="s">
        <v>222</v>
      </c>
      <c r="S28" s="11" t="s">
        <v>223</v>
      </c>
      <c r="T28" s="6"/>
      <c r="U28" s="28" t="str">
        <f>HYPERLINK("https://media.infra-m.ru/1912/1912949/cover/1912949.jpg", "Обложка")</f>
        <v>Обложка</v>
      </c>
      <c r="V28" s="28" t="str">
        <f>HYPERLINK("https://znanium.com/catalog/product/1912949", "Ознакомиться")</f>
        <v>Ознакомиться</v>
      </c>
      <c r="W28" s="8" t="s">
        <v>224</v>
      </c>
      <c r="X28" s="6"/>
      <c r="Y28" s="6"/>
      <c r="Z28" s="6"/>
      <c r="AA28" s="6" t="s">
        <v>225</v>
      </c>
    </row>
    <row r="29" spans="1:27" s="4" customFormat="1" ht="51.95" customHeight="1">
      <c r="A29" s="5">
        <v>0</v>
      </c>
      <c r="B29" s="6" t="s">
        <v>226</v>
      </c>
      <c r="C29" s="7">
        <v>1140</v>
      </c>
      <c r="D29" s="8" t="s">
        <v>227</v>
      </c>
      <c r="E29" s="8" t="s">
        <v>228</v>
      </c>
      <c r="F29" s="8" t="s">
        <v>229</v>
      </c>
      <c r="G29" s="6" t="s">
        <v>37</v>
      </c>
      <c r="H29" s="6" t="s">
        <v>38</v>
      </c>
      <c r="I29" s="8" t="s">
        <v>187</v>
      </c>
      <c r="J29" s="9">
        <v>1</v>
      </c>
      <c r="K29" s="9">
        <v>272</v>
      </c>
      <c r="L29" s="9">
        <v>2022</v>
      </c>
      <c r="M29" s="8" t="s">
        <v>230</v>
      </c>
      <c r="N29" s="8" t="s">
        <v>41</v>
      </c>
      <c r="O29" s="8" t="s">
        <v>54</v>
      </c>
      <c r="P29" s="6" t="s">
        <v>65</v>
      </c>
      <c r="Q29" s="8" t="s">
        <v>189</v>
      </c>
      <c r="R29" s="10" t="s">
        <v>222</v>
      </c>
      <c r="S29" s="11" t="s">
        <v>231</v>
      </c>
      <c r="T29" s="6"/>
      <c r="U29" s="28" t="str">
        <f>HYPERLINK("https://media.infra-m.ru/1843/1843982/cover/1843982.jpg", "Обложка")</f>
        <v>Обложка</v>
      </c>
      <c r="V29" s="28" t="str">
        <f>HYPERLINK("https://znanium.com/catalog/product/1843982", "Ознакомиться")</f>
        <v>Ознакомиться</v>
      </c>
      <c r="W29" s="8" t="s">
        <v>232</v>
      </c>
      <c r="X29" s="6"/>
      <c r="Y29" s="6"/>
      <c r="Z29" s="6"/>
      <c r="AA29" s="6" t="s">
        <v>108</v>
      </c>
    </row>
    <row r="30" spans="1:27" s="4" customFormat="1" ht="51.95" customHeight="1">
      <c r="A30" s="5">
        <v>0</v>
      </c>
      <c r="B30" s="6" t="s">
        <v>233</v>
      </c>
      <c r="C30" s="7">
        <v>1620</v>
      </c>
      <c r="D30" s="8" t="s">
        <v>234</v>
      </c>
      <c r="E30" s="8" t="s">
        <v>228</v>
      </c>
      <c r="F30" s="8" t="s">
        <v>235</v>
      </c>
      <c r="G30" s="6" t="s">
        <v>37</v>
      </c>
      <c r="H30" s="6" t="s">
        <v>38</v>
      </c>
      <c r="I30" s="8" t="s">
        <v>187</v>
      </c>
      <c r="J30" s="9">
        <v>1</v>
      </c>
      <c r="K30" s="9">
        <v>359</v>
      </c>
      <c r="L30" s="9">
        <v>2023</v>
      </c>
      <c r="M30" s="8" t="s">
        <v>236</v>
      </c>
      <c r="N30" s="8" t="s">
        <v>41</v>
      </c>
      <c r="O30" s="8" t="s">
        <v>54</v>
      </c>
      <c r="P30" s="6" t="s">
        <v>65</v>
      </c>
      <c r="Q30" s="8" t="s">
        <v>189</v>
      </c>
      <c r="R30" s="10" t="s">
        <v>222</v>
      </c>
      <c r="S30" s="11" t="s">
        <v>237</v>
      </c>
      <c r="T30" s="6"/>
      <c r="U30" s="28" t="str">
        <f>HYPERLINK("https://media.infra-m.ru/1925/1925556/cover/1925556.jpg", "Обложка")</f>
        <v>Обложка</v>
      </c>
      <c r="V30" s="28" t="str">
        <f>HYPERLINK("https://znanium.com/catalog/product/1925556", "Ознакомиться")</f>
        <v>Ознакомиться</v>
      </c>
      <c r="W30" s="8" t="s">
        <v>238</v>
      </c>
      <c r="X30" s="6"/>
      <c r="Y30" s="6"/>
      <c r="Z30" s="6"/>
      <c r="AA30" s="6" t="s">
        <v>135</v>
      </c>
    </row>
    <row r="31" spans="1:27" s="4" customFormat="1" ht="51.95" customHeight="1">
      <c r="A31" s="5">
        <v>0</v>
      </c>
      <c r="B31" s="6" t="s">
        <v>239</v>
      </c>
      <c r="C31" s="13">
        <v>460</v>
      </c>
      <c r="D31" s="8" t="s">
        <v>240</v>
      </c>
      <c r="E31" s="8" t="s">
        <v>241</v>
      </c>
      <c r="F31" s="8" t="s">
        <v>242</v>
      </c>
      <c r="G31" s="6" t="s">
        <v>52</v>
      </c>
      <c r="H31" s="6" t="s">
        <v>38</v>
      </c>
      <c r="I31" s="8" t="s">
        <v>243</v>
      </c>
      <c r="J31" s="9">
        <v>1</v>
      </c>
      <c r="K31" s="9">
        <v>88</v>
      </c>
      <c r="L31" s="9">
        <v>2024</v>
      </c>
      <c r="M31" s="8" t="s">
        <v>244</v>
      </c>
      <c r="N31" s="8" t="s">
        <v>41</v>
      </c>
      <c r="O31" s="8" t="s">
        <v>54</v>
      </c>
      <c r="P31" s="6" t="s">
        <v>65</v>
      </c>
      <c r="Q31" s="8" t="s">
        <v>66</v>
      </c>
      <c r="R31" s="10" t="s">
        <v>245</v>
      </c>
      <c r="S31" s="11" t="s">
        <v>246</v>
      </c>
      <c r="T31" s="6"/>
      <c r="U31" s="28" t="str">
        <f>HYPERLINK("https://media.infra-m.ru/1894/1894471/cover/1894471.jpg", "Обложка")</f>
        <v>Обложка</v>
      </c>
      <c r="V31" s="28" t="str">
        <f>HYPERLINK("https://znanium.com/catalog/product/1894471", "Ознакомиться")</f>
        <v>Ознакомиться</v>
      </c>
      <c r="W31" s="8" t="s">
        <v>143</v>
      </c>
      <c r="X31" s="6"/>
      <c r="Y31" s="6"/>
      <c r="Z31" s="6"/>
      <c r="AA31" s="6" t="s">
        <v>70</v>
      </c>
    </row>
    <row r="32" spans="1:27" s="4" customFormat="1" ht="44.1" customHeight="1">
      <c r="A32" s="5">
        <v>0</v>
      </c>
      <c r="B32" s="6" t="s">
        <v>247</v>
      </c>
      <c r="C32" s="7">
        <v>1294.9000000000001</v>
      </c>
      <c r="D32" s="8" t="s">
        <v>248</v>
      </c>
      <c r="E32" s="8" t="s">
        <v>249</v>
      </c>
      <c r="F32" s="8" t="s">
        <v>250</v>
      </c>
      <c r="G32" s="6" t="s">
        <v>121</v>
      </c>
      <c r="H32" s="6" t="s">
        <v>207</v>
      </c>
      <c r="I32" s="8" t="s">
        <v>62</v>
      </c>
      <c r="J32" s="9">
        <v>1</v>
      </c>
      <c r="K32" s="9">
        <v>288</v>
      </c>
      <c r="L32" s="9">
        <v>2023</v>
      </c>
      <c r="M32" s="8" t="s">
        <v>251</v>
      </c>
      <c r="N32" s="8" t="s">
        <v>41</v>
      </c>
      <c r="O32" s="8" t="s">
        <v>54</v>
      </c>
      <c r="P32" s="6" t="s">
        <v>65</v>
      </c>
      <c r="Q32" s="8" t="s">
        <v>66</v>
      </c>
      <c r="R32" s="10" t="s">
        <v>252</v>
      </c>
      <c r="S32" s="11"/>
      <c r="T32" s="6"/>
      <c r="U32" s="28" t="str">
        <f>HYPERLINK("https://media.infra-m.ru/1911/1911772/cover/1911772.jpg", "Обложка")</f>
        <v>Обложка</v>
      </c>
      <c r="V32" s="28" t="str">
        <f>HYPERLINK("https://znanium.com/catalog/product/1238969", "Ознакомиться")</f>
        <v>Ознакомиться</v>
      </c>
      <c r="W32" s="8" t="s">
        <v>253</v>
      </c>
      <c r="X32" s="6"/>
      <c r="Y32" s="6"/>
      <c r="Z32" s="6"/>
      <c r="AA32" s="6" t="s">
        <v>254</v>
      </c>
    </row>
    <row r="33" spans="1:27" s="4" customFormat="1" ht="51.95" customHeight="1">
      <c r="A33" s="5">
        <v>0</v>
      </c>
      <c r="B33" s="6" t="s">
        <v>255</v>
      </c>
      <c r="C33" s="7">
        <v>1496</v>
      </c>
      <c r="D33" s="8" t="s">
        <v>256</v>
      </c>
      <c r="E33" s="8" t="s">
        <v>257</v>
      </c>
      <c r="F33" s="8"/>
      <c r="G33" s="6" t="s">
        <v>52</v>
      </c>
      <c r="H33" s="6" t="s">
        <v>38</v>
      </c>
      <c r="I33" s="8"/>
      <c r="J33" s="9">
        <v>1</v>
      </c>
      <c r="K33" s="9">
        <v>68</v>
      </c>
      <c r="L33" s="9">
        <v>2020</v>
      </c>
      <c r="M33" s="8"/>
      <c r="N33" s="8" t="s">
        <v>41</v>
      </c>
      <c r="O33" s="8" t="s">
        <v>64</v>
      </c>
      <c r="P33" s="6" t="s">
        <v>258</v>
      </c>
      <c r="Q33" s="8" t="s">
        <v>44</v>
      </c>
      <c r="R33" s="10" t="s">
        <v>259</v>
      </c>
      <c r="S33" s="11"/>
      <c r="T33" s="6"/>
      <c r="U33" s="28" t="str">
        <f>HYPERLINK("https://media.infra-m.ru/1176/1176842/cover/1176842.jpg", "Обложка")</f>
        <v>Обложка</v>
      </c>
      <c r="V33" s="28" t="str">
        <f>HYPERLINK("https://znanium.com/catalog/product/501724", "Ознакомиться")</f>
        <v>Ознакомиться</v>
      </c>
      <c r="W33" s="8"/>
      <c r="X33" s="6"/>
      <c r="Y33" s="6"/>
      <c r="Z33" s="6"/>
      <c r="AA33" s="6"/>
    </row>
    <row r="34" spans="1:27" s="4" customFormat="1" ht="51.95" customHeight="1">
      <c r="A34" s="5">
        <v>0</v>
      </c>
      <c r="B34" s="6" t="s">
        <v>260</v>
      </c>
      <c r="C34" s="7">
        <v>1124.9000000000001</v>
      </c>
      <c r="D34" s="8" t="s">
        <v>261</v>
      </c>
      <c r="E34" s="8" t="s">
        <v>262</v>
      </c>
      <c r="F34" s="8" t="s">
        <v>263</v>
      </c>
      <c r="G34" s="6" t="s">
        <v>121</v>
      </c>
      <c r="H34" s="6" t="s">
        <v>264</v>
      </c>
      <c r="I34" s="8"/>
      <c r="J34" s="9">
        <v>1</v>
      </c>
      <c r="K34" s="9">
        <v>251</v>
      </c>
      <c r="L34" s="9">
        <v>2023</v>
      </c>
      <c r="M34" s="8" t="s">
        <v>265</v>
      </c>
      <c r="N34" s="8" t="s">
        <v>41</v>
      </c>
      <c r="O34" s="8" t="s">
        <v>64</v>
      </c>
      <c r="P34" s="6" t="s">
        <v>85</v>
      </c>
      <c r="Q34" s="8" t="s">
        <v>66</v>
      </c>
      <c r="R34" s="10" t="s">
        <v>266</v>
      </c>
      <c r="S34" s="11" t="s">
        <v>267</v>
      </c>
      <c r="T34" s="6"/>
      <c r="U34" s="28" t="str">
        <f>HYPERLINK("https://media.infra-m.ru/1919/1919357/cover/1919357.jpg", "Обложка")</f>
        <v>Обложка</v>
      </c>
      <c r="V34" s="28" t="str">
        <f>HYPERLINK("https://znanium.com/catalog/product/1247037", "Ознакомиться")</f>
        <v>Ознакомиться</v>
      </c>
      <c r="W34" s="8" t="s">
        <v>268</v>
      </c>
      <c r="X34" s="6"/>
      <c r="Y34" s="6"/>
      <c r="Z34" s="6"/>
      <c r="AA34" s="6" t="s">
        <v>269</v>
      </c>
    </row>
    <row r="35" spans="1:27" s="4" customFormat="1" ht="51.95" customHeight="1">
      <c r="A35" s="5">
        <v>0</v>
      </c>
      <c r="B35" s="6" t="s">
        <v>270</v>
      </c>
      <c r="C35" s="13">
        <v>814</v>
      </c>
      <c r="D35" s="8" t="s">
        <v>271</v>
      </c>
      <c r="E35" s="8" t="s">
        <v>272</v>
      </c>
      <c r="F35" s="8" t="s">
        <v>273</v>
      </c>
      <c r="G35" s="6" t="s">
        <v>52</v>
      </c>
      <c r="H35" s="6" t="s">
        <v>207</v>
      </c>
      <c r="I35" s="8" t="s">
        <v>130</v>
      </c>
      <c r="J35" s="9">
        <v>1</v>
      </c>
      <c r="K35" s="9">
        <v>176</v>
      </c>
      <c r="L35" s="9">
        <v>2024</v>
      </c>
      <c r="M35" s="8" t="s">
        <v>274</v>
      </c>
      <c r="N35" s="8" t="s">
        <v>41</v>
      </c>
      <c r="O35" s="8" t="s">
        <v>42</v>
      </c>
      <c r="P35" s="6" t="s">
        <v>65</v>
      </c>
      <c r="Q35" s="8" t="s">
        <v>66</v>
      </c>
      <c r="R35" s="10" t="s">
        <v>275</v>
      </c>
      <c r="S35" s="11" t="s">
        <v>276</v>
      </c>
      <c r="T35" s="6"/>
      <c r="U35" s="28" t="str">
        <f>HYPERLINK("https://media.infra-m.ru/2056/2056647/cover/2056647.jpg", "Обложка")</f>
        <v>Обложка</v>
      </c>
      <c r="V35" s="12"/>
      <c r="W35" s="8" t="s">
        <v>277</v>
      </c>
      <c r="X35" s="6"/>
      <c r="Y35" s="6"/>
      <c r="Z35" s="6"/>
      <c r="AA35" s="6" t="s">
        <v>278</v>
      </c>
    </row>
    <row r="36" spans="1:27" s="4" customFormat="1" ht="51.95" customHeight="1">
      <c r="A36" s="5">
        <v>0</v>
      </c>
      <c r="B36" s="6" t="s">
        <v>279</v>
      </c>
      <c r="C36" s="7">
        <v>1160</v>
      </c>
      <c r="D36" s="8" t="s">
        <v>280</v>
      </c>
      <c r="E36" s="8" t="s">
        <v>281</v>
      </c>
      <c r="F36" s="8" t="s">
        <v>282</v>
      </c>
      <c r="G36" s="6" t="s">
        <v>37</v>
      </c>
      <c r="H36" s="6" t="s">
        <v>122</v>
      </c>
      <c r="I36" s="8"/>
      <c r="J36" s="9">
        <v>1</v>
      </c>
      <c r="K36" s="9">
        <v>251</v>
      </c>
      <c r="L36" s="9">
        <v>2024</v>
      </c>
      <c r="M36" s="8" t="s">
        <v>283</v>
      </c>
      <c r="N36" s="8" t="s">
        <v>41</v>
      </c>
      <c r="O36" s="8" t="s">
        <v>64</v>
      </c>
      <c r="P36" s="6" t="s">
        <v>65</v>
      </c>
      <c r="Q36" s="8" t="s">
        <v>66</v>
      </c>
      <c r="R36" s="10" t="s">
        <v>284</v>
      </c>
      <c r="S36" s="11" t="s">
        <v>285</v>
      </c>
      <c r="T36" s="6"/>
      <c r="U36" s="28" t="str">
        <f>HYPERLINK("https://media.infra-m.ru/2122/2122055/cover/2122055.jpg", "Обложка")</f>
        <v>Обложка</v>
      </c>
      <c r="V36" s="28" t="str">
        <f>HYPERLINK("https://znanium.com/catalog/product/2122055", "Ознакомиться")</f>
        <v>Ознакомиться</v>
      </c>
      <c r="W36" s="8" t="s">
        <v>286</v>
      </c>
      <c r="X36" s="6"/>
      <c r="Y36" s="6"/>
      <c r="Z36" s="6"/>
      <c r="AA36" s="6" t="s">
        <v>70</v>
      </c>
    </row>
    <row r="37" spans="1:27" s="4" customFormat="1" ht="42" customHeight="1">
      <c r="A37" s="5">
        <v>0</v>
      </c>
      <c r="B37" s="6" t="s">
        <v>287</v>
      </c>
      <c r="C37" s="7">
        <v>1844</v>
      </c>
      <c r="D37" s="8" t="s">
        <v>288</v>
      </c>
      <c r="E37" s="8" t="s">
        <v>289</v>
      </c>
      <c r="F37" s="8" t="s">
        <v>290</v>
      </c>
      <c r="G37" s="6" t="s">
        <v>121</v>
      </c>
      <c r="H37" s="6" t="s">
        <v>207</v>
      </c>
      <c r="I37" s="8" t="s">
        <v>62</v>
      </c>
      <c r="J37" s="9">
        <v>1</v>
      </c>
      <c r="K37" s="9">
        <v>400</v>
      </c>
      <c r="L37" s="9">
        <v>2024</v>
      </c>
      <c r="M37" s="8" t="s">
        <v>291</v>
      </c>
      <c r="N37" s="8" t="s">
        <v>41</v>
      </c>
      <c r="O37" s="8" t="s">
        <v>64</v>
      </c>
      <c r="P37" s="6" t="s">
        <v>65</v>
      </c>
      <c r="Q37" s="8" t="s">
        <v>66</v>
      </c>
      <c r="R37" s="10" t="s">
        <v>292</v>
      </c>
      <c r="S37" s="11"/>
      <c r="T37" s="6"/>
      <c r="U37" s="28" t="str">
        <f>HYPERLINK("https://media.infra-m.ru/2122/2122056/cover/2122056.jpg", "Обложка")</f>
        <v>Обложка</v>
      </c>
      <c r="V37" s="28" t="str">
        <f>HYPERLINK("https://znanium.com/catalog/product/1037073", "Ознакомиться")</f>
        <v>Ознакомиться</v>
      </c>
      <c r="W37" s="8" t="s">
        <v>293</v>
      </c>
      <c r="X37" s="6"/>
      <c r="Y37" s="6"/>
      <c r="Z37" s="6"/>
      <c r="AA37" s="6" t="s">
        <v>100</v>
      </c>
    </row>
    <row r="38" spans="1:27" s="4" customFormat="1" ht="51.95" customHeight="1">
      <c r="A38" s="5">
        <v>0</v>
      </c>
      <c r="B38" s="6" t="s">
        <v>294</v>
      </c>
      <c r="C38" s="13">
        <v>680</v>
      </c>
      <c r="D38" s="8" t="s">
        <v>295</v>
      </c>
      <c r="E38" s="8" t="s">
        <v>296</v>
      </c>
      <c r="F38" s="8" t="s">
        <v>297</v>
      </c>
      <c r="G38" s="6" t="s">
        <v>52</v>
      </c>
      <c r="H38" s="6" t="s">
        <v>122</v>
      </c>
      <c r="I38" s="8" t="s">
        <v>298</v>
      </c>
      <c r="J38" s="9">
        <v>1</v>
      </c>
      <c r="K38" s="9">
        <v>150</v>
      </c>
      <c r="L38" s="9">
        <v>2023</v>
      </c>
      <c r="M38" s="8" t="s">
        <v>299</v>
      </c>
      <c r="N38" s="8" t="s">
        <v>41</v>
      </c>
      <c r="O38" s="8" t="s">
        <v>42</v>
      </c>
      <c r="P38" s="6" t="s">
        <v>65</v>
      </c>
      <c r="Q38" s="8" t="s">
        <v>189</v>
      </c>
      <c r="R38" s="10" t="s">
        <v>300</v>
      </c>
      <c r="S38" s="11"/>
      <c r="T38" s="6"/>
      <c r="U38" s="28" t="str">
        <f>HYPERLINK("https://media.infra-m.ru/1900/1900594/cover/1900594.jpg", "Обложка")</f>
        <v>Обложка</v>
      </c>
      <c r="V38" s="28" t="str">
        <f>HYPERLINK("https://znanium.com/catalog/product/1900594", "Ознакомиться")</f>
        <v>Ознакомиться</v>
      </c>
      <c r="W38" s="8" t="s">
        <v>301</v>
      </c>
      <c r="X38" s="6"/>
      <c r="Y38" s="6" t="s">
        <v>30</v>
      </c>
      <c r="Z38" s="6"/>
      <c r="AA38" s="6" t="s">
        <v>193</v>
      </c>
    </row>
    <row r="39" spans="1:27" s="4" customFormat="1" ht="51.95" customHeight="1">
      <c r="A39" s="5">
        <v>0</v>
      </c>
      <c r="B39" s="6" t="s">
        <v>302</v>
      </c>
      <c r="C39" s="7">
        <v>1850</v>
      </c>
      <c r="D39" s="8" t="s">
        <v>303</v>
      </c>
      <c r="E39" s="8" t="s">
        <v>289</v>
      </c>
      <c r="F39" s="8" t="s">
        <v>304</v>
      </c>
      <c r="G39" s="6" t="s">
        <v>37</v>
      </c>
      <c r="H39" s="6" t="s">
        <v>38</v>
      </c>
      <c r="I39" s="8" t="s">
        <v>187</v>
      </c>
      <c r="J39" s="9">
        <v>1</v>
      </c>
      <c r="K39" s="9">
        <v>400</v>
      </c>
      <c r="L39" s="9">
        <v>2023</v>
      </c>
      <c r="M39" s="8" t="s">
        <v>305</v>
      </c>
      <c r="N39" s="8" t="s">
        <v>41</v>
      </c>
      <c r="O39" s="8" t="s">
        <v>42</v>
      </c>
      <c r="P39" s="6" t="s">
        <v>65</v>
      </c>
      <c r="Q39" s="8" t="s">
        <v>189</v>
      </c>
      <c r="R39" s="10" t="s">
        <v>306</v>
      </c>
      <c r="S39" s="11" t="s">
        <v>307</v>
      </c>
      <c r="T39" s="6"/>
      <c r="U39" s="28" t="str">
        <f>HYPERLINK("https://media.infra-m.ru/2016/2016215/cover/2016215.jpg", "Обложка")</f>
        <v>Обложка</v>
      </c>
      <c r="V39" s="28" t="str">
        <f>HYPERLINK("https://znanium.com/catalog/product/2016215", "Ознакомиться")</f>
        <v>Ознакомиться</v>
      </c>
      <c r="W39" s="8" t="s">
        <v>293</v>
      </c>
      <c r="X39" s="6"/>
      <c r="Y39" s="6"/>
      <c r="Z39" s="6" t="s">
        <v>192</v>
      </c>
      <c r="AA39" s="6" t="s">
        <v>135</v>
      </c>
    </row>
    <row r="40" spans="1:27" s="4" customFormat="1" ht="42" customHeight="1">
      <c r="A40" s="5">
        <v>0</v>
      </c>
      <c r="B40" s="6" t="s">
        <v>308</v>
      </c>
      <c r="C40" s="7">
        <v>1844</v>
      </c>
      <c r="D40" s="8" t="s">
        <v>309</v>
      </c>
      <c r="E40" s="8" t="s">
        <v>310</v>
      </c>
      <c r="F40" s="8" t="s">
        <v>311</v>
      </c>
      <c r="G40" s="6" t="s">
        <v>121</v>
      </c>
      <c r="H40" s="6" t="s">
        <v>38</v>
      </c>
      <c r="I40" s="8" t="s">
        <v>62</v>
      </c>
      <c r="J40" s="9">
        <v>1</v>
      </c>
      <c r="K40" s="9">
        <v>400</v>
      </c>
      <c r="L40" s="9">
        <v>2024</v>
      </c>
      <c r="M40" s="8" t="s">
        <v>312</v>
      </c>
      <c r="N40" s="8" t="s">
        <v>41</v>
      </c>
      <c r="O40" s="8" t="s">
        <v>64</v>
      </c>
      <c r="P40" s="6" t="s">
        <v>85</v>
      </c>
      <c r="Q40" s="8" t="s">
        <v>66</v>
      </c>
      <c r="R40" s="10" t="s">
        <v>266</v>
      </c>
      <c r="S40" s="11"/>
      <c r="T40" s="6"/>
      <c r="U40" s="28" t="str">
        <f>HYPERLINK("https://media.infra-m.ru/2081/2081664/cover/2081664.jpg", "Обложка")</f>
        <v>Обложка</v>
      </c>
      <c r="V40" s="28" t="str">
        <f>HYPERLINK("https://znanium.com/catalog/product/1349867", "Ознакомиться")</f>
        <v>Ознакомиться</v>
      </c>
      <c r="W40" s="8" t="s">
        <v>313</v>
      </c>
      <c r="X40" s="6"/>
      <c r="Y40" s="6"/>
      <c r="Z40" s="6"/>
      <c r="AA40" s="6" t="s">
        <v>100</v>
      </c>
    </row>
    <row r="41" spans="1:27" s="4" customFormat="1" ht="42" customHeight="1">
      <c r="A41" s="5">
        <v>0</v>
      </c>
      <c r="B41" s="6" t="s">
        <v>314</v>
      </c>
      <c r="C41" s="7">
        <v>1800</v>
      </c>
      <c r="D41" s="8" t="s">
        <v>315</v>
      </c>
      <c r="E41" s="8" t="s">
        <v>310</v>
      </c>
      <c r="F41" s="8" t="s">
        <v>316</v>
      </c>
      <c r="G41" s="6" t="s">
        <v>37</v>
      </c>
      <c r="H41" s="6" t="s">
        <v>317</v>
      </c>
      <c r="I41" s="8"/>
      <c r="J41" s="9">
        <v>1</v>
      </c>
      <c r="K41" s="9">
        <v>400</v>
      </c>
      <c r="L41" s="9">
        <v>2022</v>
      </c>
      <c r="M41" s="8" t="s">
        <v>318</v>
      </c>
      <c r="N41" s="8" t="s">
        <v>41</v>
      </c>
      <c r="O41" s="8" t="s">
        <v>64</v>
      </c>
      <c r="P41" s="6" t="s">
        <v>85</v>
      </c>
      <c r="Q41" s="8" t="s">
        <v>66</v>
      </c>
      <c r="R41" s="10" t="s">
        <v>319</v>
      </c>
      <c r="S41" s="11"/>
      <c r="T41" s="6"/>
      <c r="U41" s="28" t="str">
        <f>HYPERLINK("https://media.infra-m.ru/1073/1073011/cover/1073011.jpg", "Обложка")</f>
        <v>Обложка</v>
      </c>
      <c r="V41" s="28" t="str">
        <f>HYPERLINK("https://znanium.com/catalog/product/1073011", "Ознакомиться")</f>
        <v>Ознакомиться</v>
      </c>
      <c r="W41" s="8"/>
      <c r="X41" s="6"/>
      <c r="Y41" s="6"/>
      <c r="Z41" s="6"/>
      <c r="AA41" s="6" t="s">
        <v>320</v>
      </c>
    </row>
    <row r="42" spans="1:27" s="4" customFormat="1" ht="51.95" customHeight="1">
      <c r="A42" s="5">
        <v>0</v>
      </c>
      <c r="B42" s="6" t="s">
        <v>321</v>
      </c>
      <c r="C42" s="7">
        <v>1654.9</v>
      </c>
      <c r="D42" s="8" t="s">
        <v>322</v>
      </c>
      <c r="E42" s="8" t="s">
        <v>310</v>
      </c>
      <c r="F42" s="8" t="s">
        <v>323</v>
      </c>
      <c r="G42" s="6" t="s">
        <v>121</v>
      </c>
      <c r="H42" s="6" t="s">
        <v>317</v>
      </c>
      <c r="I42" s="8"/>
      <c r="J42" s="9">
        <v>1</v>
      </c>
      <c r="K42" s="9">
        <v>368</v>
      </c>
      <c r="L42" s="9">
        <v>2023</v>
      </c>
      <c r="M42" s="8" t="s">
        <v>324</v>
      </c>
      <c r="N42" s="8" t="s">
        <v>41</v>
      </c>
      <c r="O42" s="8" t="s">
        <v>42</v>
      </c>
      <c r="P42" s="6" t="s">
        <v>85</v>
      </c>
      <c r="Q42" s="8" t="s">
        <v>189</v>
      </c>
      <c r="R42" s="10" t="s">
        <v>325</v>
      </c>
      <c r="S42" s="11"/>
      <c r="T42" s="6"/>
      <c r="U42" s="28" t="str">
        <f>HYPERLINK("https://media.infra-m.ru/1910/1910903/cover/1910903.jpg", "Обложка")</f>
        <v>Обложка</v>
      </c>
      <c r="V42" s="28" t="str">
        <f>HYPERLINK("https://znanium.com/catalog/product/1069174", "Ознакомиться")</f>
        <v>Ознакомиться</v>
      </c>
      <c r="W42" s="8" t="s">
        <v>143</v>
      </c>
      <c r="X42" s="6"/>
      <c r="Y42" s="6" t="s">
        <v>30</v>
      </c>
      <c r="Z42" s="6"/>
      <c r="AA42" s="6" t="s">
        <v>320</v>
      </c>
    </row>
    <row r="43" spans="1:27" s="4" customFormat="1" ht="51.95" customHeight="1">
      <c r="A43" s="5">
        <v>0</v>
      </c>
      <c r="B43" s="6" t="s">
        <v>326</v>
      </c>
      <c r="C43" s="7">
        <v>1424</v>
      </c>
      <c r="D43" s="8" t="s">
        <v>327</v>
      </c>
      <c r="E43" s="8" t="s">
        <v>328</v>
      </c>
      <c r="F43" s="8" t="s">
        <v>329</v>
      </c>
      <c r="G43" s="6" t="s">
        <v>121</v>
      </c>
      <c r="H43" s="6" t="s">
        <v>38</v>
      </c>
      <c r="I43" s="8" t="s">
        <v>62</v>
      </c>
      <c r="J43" s="9">
        <v>1</v>
      </c>
      <c r="K43" s="9">
        <v>304</v>
      </c>
      <c r="L43" s="9">
        <v>2024</v>
      </c>
      <c r="M43" s="8" t="s">
        <v>330</v>
      </c>
      <c r="N43" s="8" t="s">
        <v>41</v>
      </c>
      <c r="O43" s="8" t="s">
        <v>64</v>
      </c>
      <c r="P43" s="6" t="s">
        <v>85</v>
      </c>
      <c r="Q43" s="8" t="s">
        <v>66</v>
      </c>
      <c r="R43" s="10" t="s">
        <v>266</v>
      </c>
      <c r="S43" s="11" t="s">
        <v>331</v>
      </c>
      <c r="T43" s="6" t="s">
        <v>89</v>
      </c>
      <c r="U43" s="28" t="str">
        <f>HYPERLINK("https://media.infra-m.ru/2018/2018251/cover/2018251.jpg", "Обложка")</f>
        <v>Обложка</v>
      </c>
      <c r="V43" s="28" t="str">
        <f>HYPERLINK("https://znanium.com/catalog/product/1844278", "Ознакомиться")</f>
        <v>Ознакомиться</v>
      </c>
      <c r="W43" s="8" t="s">
        <v>332</v>
      </c>
      <c r="X43" s="6"/>
      <c r="Y43" s="6"/>
      <c r="Z43" s="6"/>
      <c r="AA43" s="6" t="s">
        <v>333</v>
      </c>
    </row>
    <row r="44" spans="1:27" s="4" customFormat="1" ht="51.95" customHeight="1">
      <c r="A44" s="5">
        <v>0</v>
      </c>
      <c r="B44" s="6" t="s">
        <v>334</v>
      </c>
      <c r="C44" s="7">
        <v>1914</v>
      </c>
      <c r="D44" s="8" t="s">
        <v>335</v>
      </c>
      <c r="E44" s="8" t="s">
        <v>310</v>
      </c>
      <c r="F44" s="8" t="s">
        <v>336</v>
      </c>
      <c r="G44" s="6" t="s">
        <v>121</v>
      </c>
      <c r="H44" s="6" t="s">
        <v>207</v>
      </c>
      <c r="I44" s="8" t="s">
        <v>62</v>
      </c>
      <c r="J44" s="9">
        <v>1</v>
      </c>
      <c r="K44" s="9">
        <v>416</v>
      </c>
      <c r="L44" s="9">
        <v>2024</v>
      </c>
      <c r="M44" s="8" t="s">
        <v>337</v>
      </c>
      <c r="N44" s="8" t="s">
        <v>41</v>
      </c>
      <c r="O44" s="8" t="s">
        <v>64</v>
      </c>
      <c r="P44" s="6" t="s">
        <v>85</v>
      </c>
      <c r="Q44" s="8" t="s">
        <v>66</v>
      </c>
      <c r="R44" s="10" t="s">
        <v>338</v>
      </c>
      <c r="S44" s="11"/>
      <c r="T44" s="6"/>
      <c r="U44" s="28" t="str">
        <f>HYPERLINK("https://media.infra-m.ru/2084/2084160/cover/2084160.jpg", "Обложка")</f>
        <v>Обложка</v>
      </c>
      <c r="V44" s="28" t="str">
        <f>HYPERLINK("https://znanium.com/catalog/product/923955", "Ознакомиться")</f>
        <v>Ознакомиться</v>
      </c>
      <c r="W44" s="8" t="s">
        <v>339</v>
      </c>
      <c r="X44" s="6"/>
      <c r="Y44" s="6"/>
      <c r="Z44" s="6"/>
      <c r="AA44" s="6" t="s">
        <v>161</v>
      </c>
    </row>
    <row r="45" spans="1:27" s="4" customFormat="1" ht="51.95" customHeight="1">
      <c r="A45" s="5">
        <v>0</v>
      </c>
      <c r="B45" s="6" t="s">
        <v>340</v>
      </c>
      <c r="C45" s="7">
        <v>1334.9</v>
      </c>
      <c r="D45" s="8" t="s">
        <v>341</v>
      </c>
      <c r="E45" s="8" t="s">
        <v>310</v>
      </c>
      <c r="F45" s="8" t="s">
        <v>342</v>
      </c>
      <c r="G45" s="6" t="s">
        <v>121</v>
      </c>
      <c r="H45" s="6" t="s">
        <v>38</v>
      </c>
      <c r="I45" s="8" t="s">
        <v>62</v>
      </c>
      <c r="J45" s="9">
        <v>1</v>
      </c>
      <c r="K45" s="9">
        <v>297</v>
      </c>
      <c r="L45" s="9">
        <v>2023</v>
      </c>
      <c r="M45" s="8" t="s">
        <v>343</v>
      </c>
      <c r="N45" s="8" t="s">
        <v>41</v>
      </c>
      <c r="O45" s="8" t="s">
        <v>42</v>
      </c>
      <c r="P45" s="6" t="s">
        <v>65</v>
      </c>
      <c r="Q45" s="8" t="s">
        <v>66</v>
      </c>
      <c r="R45" s="10" t="s">
        <v>344</v>
      </c>
      <c r="S45" s="11" t="s">
        <v>345</v>
      </c>
      <c r="T45" s="6"/>
      <c r="U45" s="28" t="str">
        <f>HYPERLINK("https://media.infra-m.ru/1858/1858481/cover/1858481.jpg", "Обложка")</f>
        <v>Обложка</v>
      </c>
      <c r="V45" s="28" t="str">
        <f>HYPERLINK("https://znanium.com/catalog/product/1057218", "Ознакомиться")</f>
        <v>Ознакомиться</v>
      </c>
      <c r="W45" s="8" t="s">
        <v>184</v>
      </c>
      <c r="X45" s="6"/>
      <c r="Y45" s="6"/>
      <c r="Z45" s="6"/>
      <c r="AA45" s="6" t="s">
        <v>100</v>
      </c>
    </row>
    <row r="46" spans="1:27" s="4" customFormat="1" ht="51.95" customHeight="1">
      <c r="A46" s="5">
        <v>0</v>
      </c>
      <c r="B46" s="6" t="s">
        <v>346</v>
      </c>
      <c r="C46" s="7">
        <v>1344</v>
      </c>
      <c r="D46" s="8" t="s">
        <v>347</v>
      </c>
      <c r="E46" s="8" t="s">
        <v>310</v>
      </c>
      <c r="F46" s="8" t="s">
        <v>348</v>
      </c>
      <c r="G46" s="6" t="s">
        <v>37</v>
      </c>
      <c r="H46" s="6" t="s">
        <v>38</v>
      </c>
      <c r="I46" s="8" t="s">
        <v>187</v>
      </c>
      <c r="J46" s="9">
        <v>1</v>
      </c>
      <c r="K46" s="9">
        <v>297</v>
      </c>
      <c r="L46" s="9">
        <v>2023</v>
      </c>
      <c r="M46" s="8" t="s">
        <v>349</v>
      </c>
      <c r="N46" s="8" t="s">
        <v>41</v>
      </c>
      <c r="O46" s="8" t="s">
        <v>64</v>
      </c>
      <c r="P46" s="6" t="s">
        <v>65</v>
      </c>
      <c r="Q46" s="8" t="s">
        <v>189</v>
      </c>
      <c r="R46" s="10" t="s">
        <v>350</v>
      </c>
      <c r="S46" s="11" t="s">
        <v>351</v>
      </c>
      <c r="T46" s="6"/>
      <c r="U46" s="28" t="str">
        <f>HYPERLINK("https://media.infra-m.ru/2021/2021451/cover/2021451.jpg", "Обложка")</f>
        <v>Обложка</v>
      </c>
      <c r="V46" s="28" t="str">
        <f>HYPERLINK("https://znanium.com/catalog/product/1017335", "Ознакомиться")</f>
        <v>Ознакомиться</v>
      </c>
      <c r="W46" s="8" t="s">
        <v>184</v>
      </c>
      <c r="X46" s="6"/>
      <c r="Y46" s="6"/>
      <c r="Z46" s="6" t="s">
        <v>192</v>
      </c>
      <c r="AA46" s="6" t="s">
        <v>91</v>
      </c>
    </row>
    <row r="47" spans="1:27" s="4" customFormat="1" ht="51.95" customHeight="1">
      <c r="A47" s="5">
        <v>0</v>
      </c>
      <c r="B47" s="6" t="s">
        <v>352</v>
      </c>
      <c r="C47" s="7">
        <v>2650</v>
      </c>
      <c r="D47" s="8" t="s">
        <v>353</v>
      </c>
      <c r="E47" s="8" t="s">
        <v>310</v>
      </c>
      <c r="F47" s="8" t="s">
        <v>354</v>
      </c>
      <c r="G47" s="6" t="s">
        <v>121</v>
      </c>
      <c r="H47" s="6" t="s">
        <v>355</v>
      </c>
      <c r="I47" s="8" t="s">
        <v>187</v>
      </c>
      <c r="J47" s="9">
        <v>1</v>
      </c>
      <c r="K47" s="9">
        <v>576</v>
      </c>
      <c r="L47" s="9">
        <v>2024</v>
      </c>
      <c r="M47" s="8" t="s">
        <v>356</v>
      </c>
      <c r="N47" s="8" t="s">
        <v>41</v>
      </c>
      <c r="O47" s="8" t="s">
        <v>64</v>
      </c>
      <c r="P47" s="6" t="s">
        <v>65</v>
      </c>
      <c r="Q47" s="8" t="s">
        <v>189</v>
      </c>
      <c r="R47" s="10" t="s">
        <v>357</v>
      </c>
      <c r="S47" s="11" t="s">
        <v>358</v>
      </c>
      <c r="T47" s="6"/>
      <c r="U47" s="28" t="str">
        <f>HYPERLINK("https://media.infra-m.ru/1932/1932336/cover/1932336.jpg", "Обложка")</f>
        <v>Обложка</v>
      </c>
      <c r="V47" s="28" t="str">
        <f>HYPERLINK("https://znanium.com/catalog/product/1932336", "Ознакомиться")</f>
        <v>Ознакомиться</v>
      </c>
      <c r="W47" s="8" t="s">
        <v>359</v>
      </c>
      <c r="X47" s="6"/>
      <c r="Y47" s="6"/>
      <c r="Z47" s="6" t="s">
        <v>192</v>
      </c>
      <c r="AA47" s="6" t="s">
        <v>135</v>
      </c>
    </row>
    <row r="48" spans="1:27" s="4" customFormat="1" ht="51.95" customHeight="1">
      <c r="A48" s="5">
        <v>0</v>
      </c>
      <c r="B48" s="6" t="s">
        <v>360</v>
      </c>
      <c r="C48" s="7">
        <v>2194.9</v>
      </c>
      <c r="D48" s="8" t="s">
        <v>361</v>
      </c>
      <c r="E48" s="8" t="s">
        <v>310</v>
      </c>
      <c r="F48" s="8" t="s">
        <v>354</v>
      </c>
      <c r="G48" s="6" t="s">
        <v>121</v>
      </c>
      <c r="H48" s="6" t="s">
        <v>355</v>
      </c>
      <c r="I48" s="8" t="s">
        <v>130</v>
      </c>
      <c r="J48" s="9">
        <v>1</v>
      </c>
      <c r="K48" s="9">
        <v>576</v>
      </c>
      <c r="L48" s="9">
        <v>2023</v>
      </c>
      <c r="M48" s="8" t="s">
        <v>362</v>
      </c>
      <c r="N48" s="8" t="s">
        <v>41</v>
      </c>
      <c r="O48" s="8" t="s">
        <v>64</v>
      </c>
      <c r="P48" s="6" t="s">
        <v>65</v>
      </c>
      <c r="Q48" s="8" t="s">
        <v>66</v>
      </c>
      <c r="R48" s="10" t="s">
        <v>363</v>
      </c>
      <c r="S48" s="11" t="s">
        <v>364</v>
      </c>
      <c r="T48" s="6"/>
      <c r="U48" s="28" t="str">
        <f>HYPERLINK("https://media.infra-m.ru/1900/1900725/cover/1900725.jpg", "Обложка")</f>
        <v>Обложка</v>
      </c>
      <c r="V48" s="28" t="str">
        <f>HYPERLINK("https://znanium.com/catalog/product/1937181", "Ознакомиться")</f>
        <v>Ознакомиться</v>
      </c>
      <c r="W48" s="8" t="s">
        <v>359</v>
      </c>
      <c r="X48" s="6"/>
      <c r="Y48" s="6"/>
      <c r="Z48" s="6"/>
      <c r="AA48" s="6" t="s">
        <v>47</v>
      </c>
    </row>
    <row r="49" spans="1:27" s="4" customFormat="1" ht="51.95" customHeight="1">
      <c r="A49" s="5">
        <v>0</v>
      </c>
      <c r="B49" s="6" t="s">
        <v>365</v>
      </c>
      <c r="C49" s="13">
        <v>780</v>
      </c>
      <c r="D49" s="8" t="s">
        <v>366</v>
      </c>
      <c r="E49" s="8" t="s">
        <v>310</v>
      </c>
      <c r="F49" s="8" t="s">
        <v>367</v>
      </c>
      <c r="G49" s="6" t="s">
        <v>37</v>
      </c>
      <c r="H49" s="6" t="s">
        <v>38</v>
      </c>
      <c r="I49" s="8" t="s">
        <v>62</v>
      </c>
      <c r="J49" s="9">
        <v>1</v>
      </c>
      <c r="K49" s="9">
        <v>204</v>
      </c>
      <c r="L49" s="9">
        <v>2022</v>
      </c>
      <c r="M49" s="8" t="s">
        <v>368</v>
      </c>
      <c r="N49" s="8" t="s">
        <v>41</v>
      </c>
      <c r="O49" s="8" t="s">
        <v>42</v>
      </c>
      <c r="P49" s="6" t="s">
        <v>65</v>
      </c>
      <c r="Q49" s="8" t="s">
        <v>66</v>
      </c>
      <c r="R49" s="10" t="s">
        <v>369</v>
      </c>
      <c r="S49" s="11" t="s">
        <v>370</v>
      </c>
      <c r="T49" s="6"/>
      <c r="U49" s="28" t="str">
        <f>HYPERLINK("https://media.infra-m.ru/1844/1844354/cover/1844354.jpg", "Обложка")</f>
        <v>Обложка</v>
      </c>
      <c r="V49" s="28" t="str">
        <f>HYPERLINK("https://znanium.com/catalog/product/1921419", "Ознакомиться")</f>
        <v>Ознакомиться</v>
      </c>
      <c r="W49" s="8" t="s">
        <v>216</v>
      </c>
      <c r="X49" s="6"/>
      <c r="Y49" s="6"/>
      <c r="Z49" s="6"/>
      <c r="AA49" s="6" t="s">
        <v>193</v>
      </c>
    </row>
    <row r="50" spans="1:27" s="4" customFormat="1" ht="51.95" customHeight="1">
      <c r="A50" s="5">
        <v>0</v>
      </c>
      <c r="B50" s="6" t="s">
        <v>371</v>
      </c>
      <c r="C50" s="13">
        <v>780</v>
      </c>
      <c r="D50" s="8" t="s">
        <v>372</v>
      </c>
      <c r="E50" s="8" t="s">
        <v>310</v>
      </c>
      <c r="F50" s="8" t="s">
        <v>367</v>
      </c>
      <c r="G50" s="6" t="s">
        <v>37</v>
      </c>
      <c r="H50" s="6" t="s">
        <v>38</v>
      </c>
      <c r="I50" s="8" t="s">
        <v>187</v>
      </c>
      <c r="J50" s="9">
        <v>1</v>
      </c>
      <c r="K50" s="9">
        <v>204</v>
      </c>
      <c r="L50" s="9">
        <v>2022</v>
      </c>
      <c r="M50" s="8" t="s">
        <v>373</v>
      </c>
      <c r="N50" s="8" t="s">
        <v>41</v>
      </c>
      <c r="O50" s="8" t="s">
        <v>42</v>
      </c>
      <c r="P50" s="6" t="s">
        <v>65</v>
      </c>
      <c r="Q50" s="8" t="s">
        <v>189</v>
      </c>
      <c r="R50" s="10" t="s">
        <v>374</v>
      </c>
      <c r="S50" s="11" t="s">
        <v>375</v>
      </c>
      <c r="T50" s="6"/>
      <c r="U50" s="28" t="str">
        <f>HYPERLINK("https://media.infra-m.ru/1852/1852173/cover/1852173.jpg", "Обложка")</f>
        <v>Обложка</v>
      </c>
      <c r="V50" s="28" t="str">
        <f>HYPERLINK("https://znanium.com/catalog/product/2080530", "Ознакомиться")</f>
        <v>Ознакомиться</v>
      </c>
      <c r="W50" s="8" t="s">
        <v>216</v>
      </c>
      <c r="X50" s="6"/>
      <c r="Y50" s="6"/>
      <c r="Z50" s="6" t="s">
        <v>192</v>
      </c>
      <c r="AA50" s="6" t="s">
        <v>193</v>
      </c>
    </row>
    <row r="51" spans="1:27" s="4" customFormat="1" ht="42" customHeight="1">
      <c r="A51" s="5">
        <v>0</v>
      </c>
      <c r="B51" s="6" t="s">
        <v>376</v>
      </c>
      <c r="C51" s="7">
        <v>1040</v>
      </c>
      <c r="D51" s="8" t="s">
        <v>377</v>
      </c>
      <c r="E51" s="8" t="s">
        <v>378</v>
      </c>
      <c r="F51" s="8" t="s">
        <v>367</v>
      </c>
      <c r="G51" s="6" t="s">
        <v>121</v>
      </c>
      <c r="H51" s="6" t="s">
        <v>38</v>
      </c>
      <c r="I51" s="8" t="s">
        <v>379</v>
      </c>
      <c r="J51" s="9">
        <v>1</v>
      </c>
      <c r="K51" s="9">
        <v>225</v>
      </c>
      <c r="L51" s="9">
        <v>2023</v>
      </c>
      <c r="M51" s="8" t="s">
        <v>380</v>
      </c>
      <c r="N51" s="8" t="s">
        <v>41</v>
      </c>
      <c r="O51" s="8" t="s">
        <v>42</v>
      </c>
      <c r="P51" s="6" t="s">
        <v>65</v>
      </c>
      <c r="Q51" s="8" t="s">
        <v>66</v>
      </c>
      <c r="R51" s="10" t="s">
        <v>369</v>
      </c>
      <c r="S51" s="11"/>
      <c r="T51" s="6"/>
      <c r="U51" s="28" t="str">
        <f>HYPERLINK("https://media.infra-m.ru/1921/1921419/cover/1921419.jpg", "Обложка")</f>
        <v>Обложка</v>
      </c>
      <c r="V51" s="28" t="str">
        <f>HYPERLINK("https://znanium.com/catalog/product/1921419", "Ознакомиться")</f>
        <v>Ознакомиться</v>
      </c>
      <c r="W51" s="8" t="s">
        <v>216</v>
      </c>
      <c r="X51" s="6" t="s">
        <v>381</v>
      </c>
      <c r="Y51" s="6"/>
      <c r="Z51" s="6"/>
      <c r="AA51" s="6" t="s">
        <v>382</v>
      </c>
    </row>
    <row r="52" spans="1:27" s="4" customFormat="1" ht="42" customHeight="1">
      <c r="A52" s="5">
        <v>0</v>
      </c>
      <c r="B52" s="6" t="s">
        <v>383</v>
      </c>
      <c r="C52" s="7">
        <v>1050</v>
      </c>
      <c r="D52" s="8" t="s">
        <v>384</v>
      </c>
      <c r="E52" s="8" t="s">
        <v>378</v>
      </c>
      <c r="F52" s="8" t="s">
        <v>367</v>
      </c>
      <c r="G52" s="6" t="s">
        <v>37</v>
      </c>
      <c r="H52" s="6" t="s">
        <v>38</v>
      </c>
      <c r="I52" s="8" t="s">
        <v>187</v>
      </c>
      <c r="J52" s="9">
        <v>1</v>
      </c>
      <c r="K52" s="9">
        <v>225</v>
      </c>
      <c r="L52" s="9">
        <v>2024</v>
      </c>
      <c r="M52" s="8" t="s">
        <v>385</v>
      </c>
      <c r="N52" s="8" t="s">
        <v>41</v>
      </c>
      <c r="O52" s="8" t="s">
        <v>42</v>
      </c>
      <c r="P52" s="6" t="s">
        <v>65</v>
      </c>
      <c r="Q52" s="8" t="s">
        <v>189</v>
      </c>
      <c r="R52" s="10" t="s">
        <v>374</v>
      </c>
      <c r="S52" s="11"/>
      <c r="T52" s="6"/>
      <c r="U52" s="28" t="str">
        <f>HYPERLINK("https://media.infra-m.ru/2080/2080530/cover/2080530.jpg", "Обложка")</f>
        <v>Обложка</v>
      </c>
      <c r="V52" s="28" t="str">
        <f>HYPERLINK("https://znanium.com/catalog/product/2080530", "Ознакомиться")</f>
        <v>Ознакомиться</v>
      </c>
      <c r="W52" s="8" t="s">
        <v>216</v>
      </c>
      <c r="X52" s="6" t="s">
        <v>386</v>
      </c>
      <c r="Y52" s="6"/>
      <c r="Z52" s="6" t="s">
        <v>192</v>
      </c>
      <c r="AA52" s="6" t="s">
        <v>387</v>
      </c>
    </row>
    <row r="53" spans="1:27" s="4" customFormat="1" ht="21.95" customHeight="1">
      <c r="A53" s="5">
        <v>0</v>
      </c>
      <c r="B53" s="6" t="s">
        <v>388</v>
      </c>
      <c r="C53" s="13">
        <v>144.9</v>
      </c>
      <c r="D53" s="8" t="s">
        <v>389</v>
      </c>
      <c r="E53" s="8" t="s">
        <v>310</v>
      </c>
      <c r="F53" s="8" t="s">
        <v>390</v>
      </c>
      <c r="G53" s="6" t="s">
        <v>52</v>
      </c>
      <c r="H53" s="6" t="s">
        <v>122</v>
      </c>
      <c r="I53" s="8" t="s">
        <v>197</v>
      </c>
      <c r="J53" s="9">
        <v>1</v>
      </c>
      <c r="K53" s="9">
        <v>127</v>
      </c>
      <c r="L53" s="9">
        <v>2016</v>
      </c>
      <c r="M53" s="8" t="s">
        <v>391</v>
      </c>
      <c r="N53" s="8" t="s">
        <v>41</v>
      </c>
      <c r="O53" s="8" t="s">
        <v>42</v>
      </c>
      <c r="P53" s="6" t="s">
        <v>199</v>
      </c>
      <c r="Q53" s="8" t="s">
        <v>66</v>
      </c>
      <c r="R53" s="10" t="s">
        <v>284</v>
      </c>
      <c r="S53" s="11"/>
      <c r="T53" s="6"/>
      <c r="U53" s="12"/>
      <c r="V53" s="12"/>
      <c r="W53" s="8"/>
      <c r="X53" s="6"/>
      <c r="Y53" s="6"/>
      <c r="Z53" s="6"/>
      <c r="AA53" s="6" t="s">
        <v>392</v>
      </c>
    </row>
    <row r="54" spans="1:27" s="4" customFormat="1" ht="51.95" customHeight="1">
      <c r="A54" s="5">
        <v>0</v>
      </c>
      <c r="B54" s="6" t="s">
        <v>393</v>
      </c>
      <c r="C54" s="7">
        <v>1312</v>
      </c>
      <c r="D54" s="8" t="s">
        <v>394</v>
      </c>
      <c r="E54" s="8" t="s">
        <v>395</v>
      </c>
      <c r="F54" s="8" t="s">
        <v>396</v>
      </c>
      <c r="G54" s="6" t="s">
        <v>37</v>
      </c>
      <c r="H54" s="6" t="s">
        <v>38</v>
      </c>
      <c r="I54" s="8" t="s">
        <v>62</v>
      </c>
      <c r="J54" s="9">
        <v>1</v>
      </c>
      <c r="K54" s="9">
        <v>200</v>
      </c>
      <c r="L54" s="9">
        <v>2023</v>
      </c>
      <c r="M54" s="8" t="s">
        <v>397</v>
      </c>
      <c r="N54" s="8" t="s">
        <v>41</v>
      </c>
      <c r="O54" s="8" t="s">
        <v>64</v>
      </c>
      <c r="P54" s="6" t="s">
        <v>65</v>
      </c>
      <c r="Q54" s="8" t="s">
        <v>66</v>
      </c>
      <c r="R54" s="10" t="s">
        <v>398</v>
      </c>
      <c r="S54" s="11" t="s">
        <v>399</v>
      </c>
      <c r="T54" s="6"/>
      <c r="U54" s="28" t="str">
        <f>HYPERLINK("https://media.infra-m.ru/1908/1908825/cover/1908825.jpg", "Обложка")</f>
        <v>Обложка</v>
      </c>
      <c r="V54" s="28" t="str">
        <f>HYPERLINK("https://znanium.com/catalog/product/1908825", "Ознакомиться")</f>
        <v>Ознакомиться</v>
      </c>
      <c r="W54" s="8" t="s">
        <v>400</v>
      </c>
      <c r="X54" s="6"/>
      <c r="Y54" s="6"/>
      <c r="Z54" s="6"/>
      <c r="AA54" s="6" t="s">
        <v>401</v>
      </c>
    </row>
    <row r="55" spans="1:27" s="4" customFormat="1" ht="44.1" customHeight="1">
      <c r="A55" s="5">
        <v>0</v>
      </c>
      <c r="B55" s="6" t="s">
        <v>402</v>
      </c>
      <c r="C55" s="13">
        <v>740</v>
      </c>
      <c r="D55" s="8" t="s">
        <v>403</v>
      </c>
      <c r="E55" s="8" t="s">
        <v>404</v>
      </c>
      <c r="F55" s="8" t="s">
        <v>405</v>
      </c>
      <c r="G55" s="6" t="s">
        <v>52</v>
      </c>
      <c r="H55" s="6" t="s">
        <v>38</v>
      </c>
      <c r="I55" s="8" t="s">
        <v>39</v>
      </c>
      <c r="J55" s="9">
        <v>1</v>
      </c>
      <c r="K55" s="9">
        <v>160</v>
      </c>
      <c r="L55" s="9">
        <v>2024</v>
      </c>
      <c r="M55" s="8" t="s">
        <v>406</v>
      </c>
      <c r="N55" s="8" t="s">
        <v>41</v>
      </c>
      <c r="O55" s="8" t="s">
        <v>64</v>
      </c>
      <c r="P55" s="6" t="s">
        <v>43</v>
      </c>
      <c r="Q55" s="8" t="s">
        <v>44</v>
      </c>
      <c r="R55" s="10" t="s">
        <v>407</v>
      </c>
      <c r="S55" s="11"/>
      <c r="T55" s="6"/>
      <c r="U55" s="28" t="str">
        <f>HYPERLINK("https://media.infra-m.ru/2117/2117172/cover/2117172.jpg", "Обложка")</f>
        <v>Обложка</v>
      </c>
      <c r="V55" s="28" t="str">
        <f>HYPERLINK("https://znanium.com/catalog/product/2117172", "Ознакомиться")</f>
        <v>Ознакомиться</v>
      </c>
      <c r="W55" s="8" t="s">
        <v>408</v>
      </c>
      <c r="X55" s="6"/>
      <c r="Y55" s="6"/>
      <c r="Z55" s="6"/>
      <c r="AA55" s="6" t="s">
        <v>91</v>
      </c>
    </row>
    <row r="56" spans="1:27" s="4" customFormat="1" ht="42" customHeight="1">
      <c r="A56" s="5">
        <v>0</v>
      </c>
      <c r="B56" s="6" t="s">
        <v>409</v>
      </c>
      <c r="C56" s="13">
        <v>994.9</v>
      </c>
      <c r="D56" s="8" t="s">
        <v>410</v>
      </c>
      <c r="E56" s="8" t="s">
        <v>411</v>
      </c>
      <c r="F56" s="8" t="s">
        <v>412</v>
      </c>
      <c r="G56" s="6" t="s">
        <v>121</v>
      </c>
      <c r="H56" s="6" t="s">
        <v>38</v>
      </c>
      <c r="I56" s="8" t="s">
        <v>39</v>
      </c>
      <c r="J56" s="9">
        <v>1</v>
      </c>
      <c r="K56" s="9">
        <v>256</v>
      </c>
      <c r="L56" s="9">
        <v>2022</v>
      </c>
      <c r="M56" s="8" t="s">
        <v>413</v>
      </c>
      <c r="N56" s="8" t="s">
        <v>41</v>
      </c>
      <c r="O56" s="8" t="s">
        <v>181</v>
      </c>
      <c r="P56" s="6" t="s">
        <v>43</v>
      </c>
      <c r="Q56" s="8" t="s">
        <v>44</v>
      </c>
      <c r="R56" s="10" t="s">
        <v>414</v>
      </c>
      <c r="S56" s="11"/>
      <c r="T56" s="6"/>
      <c r="U56" s="28" t="str">
        <f>HYPERLINK("https://media.infra-m.ru/1852/1852197/cover/1852197.jpg", "Обложка")</f>
        <v>Обложка</v>
      </c>
      <c r="V56" s="28" t="str">
        <f>HYPERLINK("https://znanium.com/catalog/product/1065278", "Ознакомиться")</f>
        <v>Ознакомиться</v>
      </c>
      <c r="W56" s="8"/>
      <c r="X56" s="6"/>
      <c r="Y56" s="6"/>
      <c r="Z56" s="6"/>
      <c r="AA56" s="6" t="s">
        <v>100</v>
      </c>
    </row>
    <row r="57" spans="1:27" s="4" customFormat="1" ht="51.95" customHeight="1">
      <c r="A57" s="5">
        <v>0</v>
      </c>
      <c r="B57" s="6" t="s">
        <v>415</v>
      </c>
      <c r="C57" s="13">
        <v>820</v>
      </c>
      <c r="D57" s="8" t="s">
        <v>416</v>
      </c>
      <c r="E57" s="8" t="s">
        <v>417</v>
      </c>
      <c r="F57" s="8" t="s">
        <v>418</v>
      </c>
      <c r="G57" s="6" t="s">
        <v>121</v>
      </c>
      <c r="H57" s="6" t="s">
        <v>38</v>
      </c>
      <c r="I57" s="8" t="s">
        <v>62</v>
      </c>
      <c r="J57" s="9">
        <v>1</v>
      </c>
      <c r="K57" s="9">
        <v>207</v>
      </c>
      <c r="L57" s="9">
        <v>2021</v>
      </c>
      <c r="M57" s="8" t="s">
        <v>419</v>
      </c>
      <c r="N57" s="8" t="s">
        <v>41</v>
      </c>
      <c r="O57" s="8" t="s">
        <v>181</v>
      </c>
      <c r="P57" s="6" t="s">
        <v>420</v>
      </c>
      <c r="Q57" s="8" t="s">
        <v>66</v>
      </c>
      <c r="R57" s="10" t="s">
        <v>421</v>
      </c>
      <c r="S57" s="11" t="s">
        <v>422</v>
      </c>
      <c r="T57" s="6"/>
      <c r="U57" s="28" t="str">
        <f>HYPERLINK("https://media.infra-m.ru/1102/1102076/cover/1102076.jpg", "Обложка")</f>
        <v>Обложка</v>
      </c>
      <c r="V57" s="28" t="str">
        <f>HYPERLINK("https://znanium.com/catalog/product/1102076", "Ознакомиться")</f>
        <v>Ознакомиться</v>
      </c>
      <c r="W57" s="8" t="s">
        <v>90</v>
      </c>
      <c r="X57" s="6"/>
      <c r="Y57" s="6"/>
      <c r="Z57" s="6"/>
      <c r="AA57" s="6" t="s">
        <v>135</v>
      </c>
    </row>
    <row r="58" spans="1:27" s="4" customFormat="1" ht="42" customHeight="1">
      <c r="A58" s="5">
        <v>0</v>
      </c>
      <c r="B58" s="6" t="s">
        <v>423</v>
      </c>
      <c r="C58" s="7">
        <v>1110</v>
      </c>
      <c r="D58" s="8" t="s">
        <v>424</v>
      </c>
      <c r="E58" s="8" t="s">
        <v>425</v>
      </c>
      <c r="F58" s="8" t="s">
        <v>426</v>
      </c>
      <c r="G58" s="6" t="s">
        <v>52</v>
      </c>
      <c r="H58" s="6" t="s">
        <v>38</v>
      </c>
      <c r="I58" s="8" t="s">
        <v>39</v>
      </c>
      <c r="J58" s="9">
        <v>1</v>
      </c>
      <c r="K58" s="9">
        <v>284</v>
      </c>
      <c r="L58" s="9">
        <v>2021</v>
      </c>
      <c r="M58" s="8" t="s">
        <v>427</v>
      </c>
      <c r="N58" s="8" t="s">
        <v>41</v>
      </c>
      <c r="O58" s="8" t="s">
        <v>181</v>
      </c>
      <c r="P58" s="6" t="s">
        <v>43</v>
      </c>
      <c r="Q58" s="8" t="s">
        <v>44</v>
      </c>
      <c r="R58" s="10" t="s">
        <v>428</v>
      </c>
      <c r="S58" s="11"/>
      <c r="T58" s="6"/>
      <c r="U58" s="28" t="str">
        <f>HYPERLINK("https://media.infra-m.ru/1229/1229809/cover/1229809.jpg", "Обложка")</f>
        <v>Обложка</v>
      </c>
      <c r="V58" s="28" t="str">
        <f>HYPERLINK("https://znanium.com/catalog/product/1229809", "Ознакомиться")</f>
        <v>Ознакомиться</v>
      </c>
      <c r="W58" s="8" t="s">
        <v>429</v>
      </c>
      <c r="X58" s="6"/>
      <c r="Y58" s="6"/>
      <c r="Z58" s="6"/>
      <c r="AA58" s="6" t="s">
        <v>135</v>
      </c>
    </row>
    <row r="59" spans="1:27" s="4" customFormat="1" ht="51.95" customHeight="1">
      <c r="A59" s="5">
        <v>0</v>
      </c>
      <c r="B59" s="6" t="s">
        <v>430</v>
      </c>
      <c r="C59" s="7">
        <v>1494</v>
      </c>
      <c r="D59" s="8" t="s">
        <v>431</v>
      </c>
      <c r="E59" s="8" t="s">
        <v>432</v>
      </c>
      <c r="F59" s="8" t="s">
        <v>433</v>
      </c>
      <c r="G59" s="6" t="s">
        <v>121</v>
      </c>
      <c r="H59" s="6" t="s">
        <v>38</v>
      </c>
      <c r="I59" s="8" t="s">
        <v>434</v>
      </c>
      <c r="J59" s="9">
        <v>1</v>
      </c>
      <c r="K59" s="9">
        <v>388</v>
      </c>
      <c r="L59" s="9">
        <v>2023</v>
      </c>
      <c r="M59" s="8" t="s">
        <v>435</v>
      </c>
      <c r="N59" s="8" t="s">
        <v>41</v>
      </c>
      <c r="O59" s="8" t="s">
        <v>181</v>
      </c>
      <c r="P59" s="6" t="s">
        <v>436</v>
      </c>
      <c r="Q59" s="8" t="s">
        <v>132</v>
      </c>
      <c r="R59" s="10" t="s">
        <v>437</v>
      </c>
      <c r="S59" s="11" t="s">
        <v>438</v>
      </c>
      <c r="T59" s="6"/>
      <c r="U59" s="28" t="str">
        <f>HYPERLINK("https://media.infra-m.ru/1909/1909210/cover/1909210.jpg", "Обложка")</f>
        <v>Обложка</v>
      </c>
      <c r="V59" s="28" t="str">
        <f>HYPERLINK("https://znanium.com/catalog/product/1181042", "Ознакомиться")</f>
        <v>Ознакомиться</v>
      </c>
      <c r="W59" s="8" t="s">
        <v>429</v>
      </c>
      <c r="X59" s="6"/>
      <c r="Y59" s="6"/>
      <c r="Z59" s="6"/>
      <c r="AA59" s="6" t="s">
        <v>161</v>
      </c>
    </row>
    <row r="60" spans="1:27" s="4" customFormat="1" ht="51.95" customHeight="1">
      <c r="A60" s="5">
        <v>0</v>
      </c>
      <c r="B60" s="6" t="s">
        <v>439</v>
      </c>
      <c r="C60" s="13">
        <v>384.9</v>
      </c>
      <c r="D60" s="8" t="s">
        <v>440</v>
      </c>
      <c r="E60" s="8" t="s">
        <v>441</v>
      </c>
      <c r="F60" s="8" t="s">
        <v>442</v>
      </c>
      <c r="G60" s="6" t="s">
        <v>52</v>
      </c>
      <c r="H60" s="6" t="s">
        <v>122</v>
      </c>
      <c r="I60" s="8" t="s">
        <v>130</v>
      </c>
      <c r="J60" s="9">
        <v>1</v>
      </c>
      <c r="K60" s="9">
        <v>128</v>
      </c>
      <c r="L60" s="9">
        <v>2023</v>
      </c>
      <c r="M60" s="8" t="s">
        <v>443</v>
      </c>
      <c r="N60" s="8" t="s">
        <v>41</v>
      </c>
      <c r="O60" s="8" t="s">
        <v>181</v>
      </c>
      <c r="P60" s="6" t="s">
        <v>65</v>
      </c>
      <c r="Q60" s="8" t="s">
        <v>132</v>
      </c>
      <c r="R60" s="10" t="s">
        <v>444</v>
      </c>
      <c r="S60" s="11"/>
      <c r="T60" s="6"/>
      <c r="U60" s="28" t="str">
        <f>HYPERLINK("https://media.infra-m.ru/1922/1922258/cover/1922258.jpg", "Обложка")</f>
        <v>Обложка</v>
      </c>
      <c r="V60" s="28" t="str">
        <f>HYPERLINK("https://znanium.com/catalog/product/1062386", "Ознакомиться")</f>
        <v>Ознакомиться</v>
      </c>
      <c r="W60" s="8"/>
      <c r="X60" s="6"/>
      <c r="Y60" s="6"/>
      <c r="Z60" s="6"/>
      <c r="AA60" s="6" t="s">
        <v>445</v>
      </c>
    </row>
    <row r="61" spans="1:27" s="4" customFormat="1" ht="42" customHeight="1">
      <c r="A61" s="5">
        <v>0</v>
      </c>
      <c r="B61" s="6" t="s">
        <v>446</v>
      </c>
      <c r="C61" s="13">
        <v>934</v>
      </c>
      <c r="D61" s="8" t="s">
        <v>447</v>
      </c>
      <c r="E61" s="8" t="s">
        <v>448</v>
      </c>
      <c r="F61" s="8" t="s">
        <v>449</v>
      </c>
      <c r="G61" s="6" t="s">
        <v>52</v>
      </c>
      <c r="H61" s="6" t="s">
        <v>122</v>
      </c>
      <c r="I61" s="8" t="s">
        <v>450</v>
      </c>
      <c r="J61" s="9">
        <v>1</v>
      </c>
      <c r="K61" s="9">
        <v>241</v>
      </c>
      <c r="L61" s="9">
        <v>2023</v>
      </c>
      <c r="M61" s="8" t="s">
        <v>451</v>
      </c>
      <c r="N61" s="8" t="s">
        <v>41</v>
      </c>
      <c r="O61" s="8" t="s">
        <v>181</v>
      </c>
      <c r="P61" s="6" t="s">
        <v>65</v>
      </c>
      <c r="Q61" s="8" t="s">
        <v>452</v>
      </c>
      <c r="R61" s="10" t="s">
        <v>453</v>
      </c>
      <c r="S61" s="11"/>
      <c r="T61" s="6"/>
      <c r="U61" s="28" t="str">
        <f>HYPERLINK("https://media.infra-m.ru/2082/2082155/cover/2082155.jpg", "Обложка")</f>
        <v>Обложка</v>
      </c>
      <c r="V61" s="28" t="str">
        <f>HYPERLINK("https://znanium.com/catalog/product/1209230", "Ознакомиться")</f>
        <v>Ознакомиться</v>
      </c>
      <c r="W61" s="8"/>
      <c r="X61" s="6"/>
      <c r="Y61" s="6"/>
      <c r="Z61" s="6"/>
      <c r="AA61" s="6" t="s">
        <v>454</v>
      </c>
    </row>
    <row r="62" spans="1:27" s="4" customFormat="1" ht="51.95" customHeight="1">
      <c r="A62" s="5">
        <v>0</v>
      </c>
      <c r="B62" s="6" t="s">
        <v>455</v>
      </c>
      <c r="C62" s="7">
        <v>1112</v>
      </c>
      <c r="D62" s="8" t="s">
        <v>456</v>
      </c>
      <c r="E62" s="8" t="s">
        <v>457</v>
      </c>
      <c r="F62" s="8" t="s">
        <v>458</v>
      </c>
      <c r="G62" s="6" t="s">
        <v>37</v>
      </c>
      <c r="H62" s="6" t="s">
        <v>38</v>
      </c>
      <c r="I62" s="8" t="s">
        <v>459</v>
      </c>
      <c r="J62" s="9">
        <v>1</v>
      </c>
      <c r="K62" s="9">
        <v>186</v>
      </c>
      <c r="L62" s="9">
        <v>2024</v>
      </c>
      <c r="M62" s="8" t="s">
        <v>460</v>
      </c>
      <c r="N62" s="8" t="s">
        <v>41</v>
      </c>
      <c r="O62" s="8" t="s">
        <v>181</v>
      </c>
      <c r="P62" s="6" t="s">
        <v>65</v>
      </c>
      <c r="Q62" s="8" t="s">
        <v>66</v>
      </c>
      <c r="R62" s="10" t="s">
        <v>461</v>
      </c>
      <c r="S62" s="11" t="s">
        <v>462</v>
      </c>
      <c r="T62" s="6"/>
      <c r="U62" s="28" t="str">
        <f>HYPERLINK("https://media.infra-m.ru/2117/2117121/cover/2117121.jpg", "Обложка")</f>
        <v>Обложка</v>
      </c>
      <c r="V62" s="12"/>
      <c r="W62" s="8" t="s">
        <v>463</v>
      </c>
      <c r="X62" s="6"/>
      <c r="Y62" s="6"/>
      <c r="Z62" s="6"/>
      <c r="AA62" s="6" t="s">
        <v>464</v>
      </c>
    </row>
    <row r="63" spans="1:27" s="4" customFormat="1" ht="51.95" customHeight="1">
      <c r="A63" s="5">
        <v>0</v>
      </c>
      <c r="B63" s="6" t="s">
        <v>465</v>
      </c>
      <c r="C63" s="7">
        <v>2414</v>
      </c>
      <c r="D63" s="8" t="s">
        <v>466</v>
      </c>
      <c r="E63" s="8" t="s">
        <v>467</v>
      </c>
      <c r="F63" s="8" t="s">
        <v>468</v>
      </c>
      <c r="G63" s="6" t="s">
        <v>121</v>
      </c>
      <c r="H63" s="6" t="s">
        <v>38</v>
      </c>
      <c r="I63" s="8" t="s">
        <v>130</v>
      </c>
      <c r="J63" s="9">
        <v>1</v>
      </c>
      <c r="K63" s="9">
        <v>504</v>
      </c>
      <c r="L63" s="9">
        <v>2024</v>
      </c>
      <c r="M63" s="8" t="s">
        <v>469</v>
      </c>
      <c r="N63" s="8" t="s">
        <v>41</v>
      </c>
      <c r="O63" s="8" t="s">
        <v>97</v>
      </c>
      <c r="P63" s="6" t="s">
        <v>85</v>
      </c>
      <c r="Q63" s="8" t="s">
        <v>66</v>
      </c>
      <c r="R63" s="10" t="s">
        <v>470</v>
      </c>
      <c r="S63" s="11"/>
      <c r="T63" s="6"/>
      <c r="U63" s="28" t="str">
        <f>HYPERLINK("https://media.infra-m.ru/2079/2079390/cover/2079390.jpg", "Обложка")</f>
        <v>Обложка</v>
      </c>
      <c r="V63" s="28" t="str">
        <f>HYPERLINK("https://znanium.com/catalog/product/502950", "Ознакомиться")</f>
        <v>Ознакомиться</v>
      </c>
      <c r="W63" s="8" t="s">
        <v>471</v>
      </c>
      <c r="X63" s="6"/>
      <c r="Y63" s="6"/>
      <c r="Z63" s="6"/>
      <c r="AA63" s="6" t="s">
        <v>57</v>
      </c>
    </row>
    <row r="64" spans="1:27" s="4" customFormat="1" ht="42" customHeight="1">
      <c r="A64" s="5">
        <v>0</v>
      </c>
      <c r="B64" s="6" t="s">
        <v>472</v>
      </c>
      <c r="C64" s="13">
        <v>640</v>
      </c>
      <c r="D64" s="8" t="s">
        <v>473</v>
      </c>
      <c r="E64" s="8" t="s">
        <v>474</v>
      </c>
      <c r="F64" s="8" t="s">
        <v>475</v>
      </c>
      <c r="G64" s="6" t="s">
        <v>37</v>
      </c>
      <c r="H64" s="6" t="s">
        <v>38</v>
      </c>
      <c r="I64" s="8" t="s">
        <v>62</v>
      </c>
      <c r="J64" s="9">
        <v>1</v>
      </c>
      <c r="K64" s="9">
        <v>142</v>
      </c>
      <c r="L64" s="9">
        <v>2023</v>
      </c>
      <c r="M64" s="8" t="s">
        <v>476</v>
      </c>
      <c r="N64" s="8" t="s">
        <v>41</v>
      </c>
      <c r="O64" s="8" t="s">
        <v>181</v>
      </c>
      <c r="P64" s="6" t="s">
        <v>477</v>
      </c>
      <c r="Q64" s="8" t="s">
        <v>66</v>
      </c>
      <c r="R64" s="10" t="s">
        <v>478</v>
      </c>
      <c r="S64" s="11"/>
      <c r="T64" s="6" t="s">
        <v>89</v>
      </c>
      <c r="U64" s="28" t="str">
        <f>HYPERLINK("https://media.infra-m.ru/1915/1915352/cover/1915352.jpg", "Обложка")</f>
        <v>Обложка</v>
      </c>
      <c r="V64" s="28" t="str">
        <f>HYPERLINK("https://znanium.com/catalog/product/1915352", "Ознакомиться")</f>
        <v>Ознакомиться</v>
      </c>
      <c r="W64" s="8" t="s">
        <v>479</v>
      </c>
      <c r="X64" s="6"/>
      <c r="Y64" s="6"/>
      <c r="Z64" s="6"/>
      <c r="AA64" s="6" t="s">
        <v>193</v>
      </c>
    </row>
    <row r="65" spans="1:27" s="4" customFormat="1" ht="51.95" customHeight="1">
      <c r="A65" s="5">
        <v>0</v>
      </c>
      <c r="B65" s="6" t="s">
        <v>480</v>
      </c>
      <c r="C65" s="13">
        <v>660</v>
      </c>
      <c r="D65" s="8" t="s">
        <v>481</v>
      </c>
      <c r="E65" s="8" t="s">
        <v>482</v>
      </c>
      <c r="F65" s="8" t="s">
        <v>483</v>
      </c>
      <c r="G65" s="6" t="s">
        <v>37</v>
      </c>
      <c r="H65" s="6" t="s">
        <v>38</v>
      </c>
      <c r="I65" s="8" t="s">
        <v>187</v>
      </c>
      <c r="J65" s="9">
        <v>1</v>
      </c>
      <c r="K65" s="9">
        <v>142</v>
      </c>
      <c r="L65" s="9">
        <v>2024</v>
      </c>
      <c r="M65" s="8" t="s">
        <v>484</v>
      </c>
      <c r="N65" s="8" t="s">
        <v>41</v>
      </c>
      <c r="O65" s="8" t="s">
        <v>181</v>
      </c>
      <c r="P65" s="6" t="s">
        <v>65</v>
      </c>
      <c r="Q65" s="8" t="s">
        <v>189</v>
      </c>
      <c r="R65" s="10" t="s">
        <v>478</v>
      </c>
      <c r="S65" s="11" t="s">
        <v>485</v>
      </c>
      <c r="T65" s="6" t="s">
        <v>89</v>
      </c>
      <c r="U65" s="28" t="str">
        <f>HYPERLINK("https://media.infra-m.ru/2083/2083373/cover/2083373.jpg", "Обложка")</f>
        <v>Обложка</v>
      </c>
      <c r="V65" s="28" t="str">
        <f>HYPERLINK("https://znanium.com/catalog/product/2083373", "Ознакомиться")</f>
        <v>Ознакомиться</v>
      </c>
      <c r="W65" s="8" t="s">
        <v>479</v>
      </c>
      <c r="X65" s="6"/>
      <c r="Y65" s="6"/>
      <c r="Z65" s="6" t="s">
        <v>192</v>
      </c>
      <c r="AA65" s="6" t="s">
        <v>108</v>
      </c>
    </row>
    <row r="66" spans="1:27" s="4" customFormat="1" ht="51.95" customHeight="1">
      <c r="A66" s="5">
        <v>0</v>
      </c>
      <c r="B66" s="6" t="s">
        <v>486</v>
      </c>
      <c r="C66" s="13">
        <v>524</v>
      </c>
      <c r="D66" s="8" t="s">
        <v>487</v>
      </c>
      <c r="E66" s="8" t="s">
        <v>488</v>
      </c>
      <c r="F66" s="8" t="s">
        <v>489</v>
      </c>
      <c r="G66" s="6" t="s">
        <v>52</v>
      </c>
      <c r="H66" s="6" t="s">
        <v>122</v>
      </c>
      <c r="I66" s="8" t="s">
        <v>490</v>
      </c>
      <c r="J66" s="9">
        <v>1</v>
      </c>
      <c r="K66" s="9">
        <v>113</v>
      </c>
      <c r="L66" s="9">
        <v>2023</v>
      </c>
      <c r="M66" s="8" t="s">
        <v>491</v>
      </c>
      <c r="N66" s="8" t="s">
        <v>41</v>
      </c>
      <c r="O66" s="8" t="s">
        <v>181</v>
      </c>
      <c r="P66" s="6" t="s">
        <v>65</v>
      </c>
      <c r="Q66" s="8" t="s">
        <v>66</v>
      </c>
      <c r="R66" s="10" t="s">
        <v>492</v>
      </c>
      <c r="S66" s="11"/>
      <c r="T66" s="6"/>
      <c r="U66" s="28" t="str">
        <f>HYPERLINK("https://media.infra-m.ru/2063/2063334/cover/2063334.jpg", "Обложка")</f>
        <v>Обложка</v>
      </c>
      <c r="V66" s="28" t="str">
        <f>HYPERLINK("https://znanium.com/catalog/product/1838751", "Ознакомиться")</f>
        <v>Ознакомиться</v>
      </c>
      <c r="W66" s="8"/>
      <c r="X66" s="6"/>
      <c r="Y66" s="6"/>
      <c r="Z66" s="6"/>
      <c r="AA66" s="6" t="s">
        <v>493</v>
      </c>
    </row>
    <row r="67" spans="1:27" s="4" customFormat="1" ht="42" customHeight="1">
      <c r="A67" s="5">
        <v>0</v>
      </c>
      <c r="B67" s="6" t="s">
        <v>494</v>
      </c>
      <c r="C67" s="7">
        <v>1174.9000000000001</v>
      </c>
      <c r="D67" s="8" t="s">
        <v>495</v>
      </c>
      <c r="E67" s="8" t="s">
        <v>496</v>
      </c>
      <c r="F67" s="8" t="s">
        <v>497</v>
      </c>
      <c r="G67" s="6" t="s">
        <v>52</v>
      </c>
      <c r="H67" s="6" t="s">
        <v>38</v>
      </c>
      <c r="I67" s="8" t="s">
        <v>39</v>
      </c>
      <c r="J67" s="9">
        <v>1</v>
      </c>
      <c r="K67" s="9">
        <v>260</v>
      </c>
      <c r="L67" s="9">
        <v>2023</v>
      </c>
      <c r="M67" s="8" t="s">
        <v>498</v>
      </c>
      <c r="N67" s="8" t="s">
        <v>41</v>
      </c>
      <c r="O67" s="8" t="s">
        <v>64</v>
      </c>
      <c r="P67" s="6" t="s">
        <v>43</v>
      </c>
      <c r="Q67" s="8" t="s">
        <v>44</v>
      </c>
      <c r="R67" s="10" t="s">
        <v>499</v>
      </c>
      <c r="S67" s="11"/>
      <c r="T67" s="6"/>
      <c r="U67" s="28" t="str">
        <f>HYPERLINK("https://media.infra-m.ru/2045/2045952/cover/2045952.jpg", "Обложка")</f>
        <v>Обложка</v>
      </c>
      <c r="V67" s="28" t="str">
        <f>HYPERLINK("https://znanium.com/catalog/product/1043239", "Ознакомиться")</f>
        <v>Ознакомиться</v>
      </c>
      <c r="W67" s="8" t="s">
        <v>500</v>
      </c>
      <c r="X67" s="6"/>
      <c r="Y67" s="6"/>
      <c r="Z67" s="6"/>
      <c r="AA67" s="6" t="s">
        <v>108</v>
      </c>
    </row>
    <row r="68" spans="1:27" s="4" customFormat="1" ht="51.95" customHeight="1">
      <c r="A68" s="5">
        <v>0</v>
      </c>
      <c r="B68" s="6" t="s">
        <v>501</v>
      </c>
      <c r="C68" s="7">
        <v>1580</v>
      </c>
      <c r="D68" s="8" t="s">
        <v>502</v>
      </c>
      <c r="E68" s="8" t="s">
        <v>503</v>
      </c>
      <c r="F68" s="8" t="s">
        <v>504</v>
      </c>
      <c r="G68" s="6" t="s">
        <v>37</v>
      </c>
      <c r="H68" s="6" t="s">
        <v>38</v>
      </c>
      <c r="I68" s="8" t="s">
        <v>62</v>
      </c>
      <c r="J68" s="9">
        <v>1</v>
      </c>
      <c r="K68" s="9">
        <v>351</v>
      </c>
      <c r="L68" s="9">
        <v>2023</v>
      </c>
      <c r="M68" s="8" t="s">
        <v>505</v>
      </c>
      <c r="N68" s="8" t="s">
        <v>41</v>
      </c>
      <c r="O68" s="8" t="s">
        <v>181</v>
      </c>
      <c r="P68" s="6" t="s">
        <v>65</v>
      </c>
      <c r="Q68" s="8" t="s">
        <v>66</v>
      </c>
      <c r="R68" s="10" t="s">
        <v>506</v>
      </c>
      <c r="S68" s="11" t="s">
        <v>507</v>
      </c>
      <c r="T68" s="6"/>
      <c r="U68" s="28" t="str">
        <f>HYPERLINK("https://media.infra-m.ru/1900/1900333/cover/1900333.jpg", "Обложка")</f>
        <v>Обложка</v>
      </c>
      <c r="V68" s="28" t="str">
        <f>HYPERLINK("https://znanium.com/catalog/product/1900333", "Ознакомиться")</f>
        <v>Ознакомиться</v>
      </c>
      <c r="W68" s="8" t="s">
        <v>508</v>
      </c>
      <c r="X68" s="6"/>
      <c r="Y68" s="6"/>
      <c r="Z68" s="6"/>
      <c r="AA68" s="6" t="s">
        <v>108</v>
      </c>
    </row>
    <row r="69" spans="1:27" s="4" customFormat="1" ht="51.95" customHeight="1">
      <c r="A69" s="5">
        <v>0</v>
      </c>
      <c r="B69" s="6" t="s">
        <v>509</v>
      </c>
      <c r="C69" s="7">
        <v>1620</v>
      </c>
      <c r="D69" s="8" t="s">
        <v>510</v>
      </c>
      <c r="E69" s="8" t="s">
        <v>503</v>
      </c>
      <c r="F69" s="8" t="s">
        <v>504</v>
      </c>
      <c r="G69" s="6" t="s">
        <v>37</v>
      </c>
      <c r="H69" s="6" t="s">
        <v>38</v>
      </c>
      <c r="I69" s="8" t="s">
        <v>187</v>
      </c>
      <c r="J69" s="9">
        <v>1</v>
      </c>
      <c r="K69" s="9">
        <v>351</v>
      </c>
      <c r="L69" s="9">
        <v>2024</v>
      </c>
      <c r="M69" s="8" t="s">
        <v>511</v>
      </c>
      <c r="N69" s="8" t="s">
        <v>41</v>
      </c>
      <c r="O69" s="8" t="s">
        <v>181</v>
      </c>
      <c r="P69" s="6" t="s">
        <v>65</v>
      </c>
      <c r="Q69" s="8" t="s">
        <v>189</v>
      </c>
      <c r="R69" s="10" t="s">
        <v>512</v>
      </c>
      <c r="S69" s="11" t="s">
        <v>513</v>
      </c>
      <c r="T69" s="6"/>
      <c r="U69" s="28" t="str">
        <f>HYPERLINK("https://media.infra-m.ru/2102/2102653/cover/2102653.jpg", "Обложка")</f>
        <v>Обложка</v>
      </c>
      <c r="V69" s="28" t="str">
        <f>HYPERLINK("https://znanium.com/catalog/product/2102653", "Ознакомиться")</f>
        <v>Ознакомиться</v>
      </c>
      <c r="W69" s="8" t="s">
        <v>508</v>
      </c>
      <c r="X69" s="6"/>
      <c r="Y69" s="6"/>
      <c r="Z69" s="6" t="s">
        <v>192</v>
      </c>
      <c r="AA69" s="6" t="s">
        <v>108</v>
      </c>
    </row>
    <row r="70" spans="1:27" s="4" customFormat="1" ht="51.95" customHeight="1">
      <c r="A70" s="5">
        <v>0</v>
      </c>
      <c r="B70" s="6" t="s">
        <v>514</v>
      </c>
      <c r="C70" s="13">
        <v>670</v>
      </c>
      <c r="D70" s="8" t="s">
        <v>515</v>
      </c>
      <c r="E70" s="8" t="s">
        <v>516</v>
      </c>
      <c r="F70" s="8" t="s">
        <v>517</v>
      </c>
      <c r="G70" s="6" t="s">
        <v>121</v>
      </c>
      <c r="H70" s="6" t="s">
        <v>38</v>
      </c>
      <c r="I70" s="8" t="s">
        <v>83</v>
      </c>
      <c r="J70" s="9">
        <v>1</v>
      </c>
      <c r="K70" s="9">
        <v>169</v>
      </c>
      <c r="L70" s="9">
        <v>2021</v>
      </c>
      <c r="M70" s="8" t="s">
        <v>518</v>
      </c>
      <c r="N70" s="8" t="s">
        <v>41</v>
      </c>
      <c r="O70" s="8" t="s">
        <v>54</v>
      </c>
      <c r="P70" s="6" t="s">
        <v>65</v>
      </c>
      <c r="Q70" s="8" t="s">
        <v>86</v>
      </c>
      <c r="R70" s="10" t="s">
        <v>519</v>
      </c>
      <c r="S70" s="11" t="s">
        <v>520</v>
      </c>
      <c r="T70" s="6"/>
      <c r="U70" s="28" t="str">
        <f>HYPERLINK("https://media.infra-m.ru/1209/1209581/cover/1209581.jpg", "Обложка")</f>
        <v>Обложка</v>
      </c>
      <c r="V70" s="28" t="str">
        <f>HYPERLINK("https://znanium.com/catalog/product/1209581", "Ознакомиться")</f>
        <v>Ознакомиться</v>
      </c>
      <c r="W70" s="8" t="s">
        <v>521</v>
      </c>
      <c r="X70" s="6"/>
      <c r="Y70" s="6"/>
      <c r="Z70" s="6"/>
      <c r="AA70" s="6" t="s">
        <v>135</v>
      </c>
    </row>
    <row r="71" spans="1:27" s="4" customFormat="1" ht="51.95" customHeight="1">
      <c r="A71" s="5">
        <v>0</v>
      </c>
      <c r="B71" s="6" t="s">
        <v>522</v>
      </c>
      <c r="C71" s="7">
        <v>1230</v>
      </c>
      <c r="D71" s="8" t="s">
        <v>523</v>
      </c>
      <c r="E71" s="8" t="s">
        <v>524</v>
      </c>
      <c r="F71" s="8" t="s">
        <v>525</v>
      </c>
      <c r="G71" s="6" t="s">
        <v>37</v>
      </c>
      <c r="H71" s="6" t="s">
        <v>38</v>
      </c>
      <c r="I71" s="8" t="s">
        <v>62</v>
      </c>
      <c r="J71" s="9">
        <v>1</v>
      </c>
      <c r="K71" s="9">
        <v>273</v>
      </c>
      <c r="L71" s="9">
        <v>2023</v>
      </c>
      <c r="M71" s="8" t="s">
        <v>526</v>
      </c>
      <c r="N71" s="8" t="s">
        <v>41</v>
      </c>
      <c r="O71" s="8" t="s">
        <v>181</v>
      </c>
      <c r="P71" s="6" t="s">
        <v>65</v>
      </c>
      <c r="Q71" s="8" t="s">
        <v>66</v>
      </c>
      <c r="R71" s="10" t="s">
        <v>527</v>
      </c>
      <c r="S71" s="11" t="s">
        <v>528</v>
      </c>
      <c r="T71" s="6"/>
      <c r="U71" s="28" t="str">
        <f>HYPERLINK("https://media.infra-m.ru/1915/1915360/cover/1915360.jpg", "Обложка")</f>
        <v>Обложка</v>
      </c>
      <c r="V71" s="28" t="str">
        <f>HYPERLINK("https://znanium.com/catalog/product/1915360", "Ознакомиться")</f>
        <v>Ознакомиться</v>
      </c>
      <c r="W71" s="8" t="s">
        <v>529</v>
      </c>
      <c r="X71" s="6"/>
      <c r="Y71" s="6"/>
      <c r="Z71" s="6"/>
      <c r="AA71" s="6" t="s">
        <v>530</v>
      </c>
    </row>
    <row r="72" spans="1:27" s="4" customFormat="1" ht="51.95" customHeight="1">
      <c r="A72" s="5">
        <v>0</v>
      </c>
      <c r="B72" s="6" t="s">
        <v>531</v>
      </c>
      <c r="C72" s="7">
        <v>1264</v>
      </c>
      <c r="D72" s="8" t="s">
        <v>532</v>
      </c>
      <c r="E72" s="8" t="s">
        <v>533</v>
      </c>
      <c r="F72" s="8" t="s">
        <v>534</v>
      </c>
      <c r="G72" s="6" t="s">
        <v>37</v>
      </c>
      <c r="H72" s="6" t="s">
        <v>38</v>
      </c>
      <c r="I72" s="8" t="s">
        <v>62</v>
      </c>
      <c r="J72" s="9">
        <v>1</v>
      </c>
      <c r="K72" s="9">
        <v>224</v>
      </c>
      <c r="L72" s="9">
        <v>2024</v>
      </c>
      <c r="M72" s="8" t="s">
        <v>526</v>
      </c>
      <c r="N72" s="8" t="s">
        <v>41</v>
      </c>
      <c r="O72" s="8" t="s">
        <v>181</v>
      </c>
      <c r="P72" s="6" t="s">
        <v>65</v>
      </c>
      <c r="Q72" s="8" t="s">
        <v>66</v>
      </c>
      <c r="R72" s="10" t="s">
        <v>527</v>
      </c>
      <c r="S72" s="11" t="s">
        <v>528</v>
      </c>
      <c r="T72" s="6"/>
      <c r="U72" s="28" t="str">
        <f>HYPERLINK("https://media.infra-m.ru/2122/2122063/cover/2122063.jpg", "Обложка")</f>
        <v>Обложка</v>
      </c>
      <c r="V72" s="28" t="str">
        <f>HYPERLINK("https://znanium.com/catalog/product/1915360", "Ознакомиться")</f>
        <v>Ознакомиться</v>
      </c>
      <c r="W72" s="8" t="s">
        <v>529</v>
      </c>
      <c r="X72" s="6"/>
      <c r="Y72" s="6"/>
      <c r="Z72" s="6"/>
      <c r="AA72" s="6" t="s">
        <v>100</v>
      </c>
    </row>
    <row r="73" spans="1:27" s="4" customFormat="1" ht="51.95" customHeight="1">
      <c r="A73" s="5">
        <v>0</v>
      </c>
      <c r="B73" s="6" t="s">
        <v>535</v>
      </c>
      <c r="C73" s="13">
        <v>510</v>
      </c>
      <c r="D73" s="8" t="s">
        <v>536</v>
      </c>
      <c r="E73" s="8" t="s">
        <v>537</v>
      </c>
      <c r="F73" s="8" t="s">
        <v>538</v>
      </c>
      <c r="G73" s="6" t="s">
        <v>52</v>
      </c>
      <c r="H73" s="6" t="s">
        <v>207</v>
      </c>
      <c r="I73" s="8" t="s">
        <v>62</v>
      </c>
      <c r="J73" s="9">
        <v>1</v>
      </c>
      <c r="K73" s="9">
        <v>112</v>
      </c>
      <c r="L73" s="9">
        <v>2023</v>
      </c>
      <c r="M73" s="8" t="s">
        <v>539</v>
      </c>
      <c r="N73" s="8" t="s">
        <v>41</v>
      </c>
      <c r="O73" s="8" t="s">
        <v>64</v>
      </c>
      <c r="P73" s="6" t="s">
        <v>65</v>
      </c>
      <c r="Q73" s="8" t="s">
        <v>66</v>
      </c>
      <c r="R73" s="10" t="s">
        <v>540</v>
      </c>
      <c r="S73" s="11" t="s">
        <v>541</v>
      </c>
      <c r="T73" s="6"/>
      <c r="U73" s="28" t="str">
        <f>HYPERLINK("https://media.infra-m.ru/1917/1917599/cover/1917599.jpg", "Обложка")</f>
        <v>Обложка</v>
      </c>
      <c r="V73" s="28" t="str">
        <f>HYPERLINK("https://znanium.com/catalog/product/1917599", "Ознакомиться")</f>
        <v>Ознакомиться</v>
      </c>
      <c r="W73" s="8" t="s">
        <v>542</v>
      </c>
      <c r="X73" s="6"/>
      <c r="Y73" s="6"/>
      <c r="Z73" s="6"/>
      <c r="AA73" s="6" t="s">
        <v>144</v>
      </c>
    </row>
    <row r="74" spans="1:27" s="4" customFormat="1" ht="51.95" customHeight="1">
      <c r="A74" s="5">
        <v>0</v>
      </c>
      <c r="B74" s="6" t="s">
        <v>543</v>
      </c>
      <c r="C74" s="13">
        <v>590</v>
      </c>
      <c r="D74" s="8" t="s">
        <v>544</v>
      </c>
      <c r="E74" s="8" t="s">
        <v>545</v>
      </c>
      <c r="F74" s="8" t="s">
        <v>546</v>
      </c>
      <c r="G74" s="6" t="s">
        <v>52</v>
      </c>
      <c r="H74" s="6" t="s">
        <v>38</v>
      </c>
      <c r="I74" s="8" t="s">
        <v>39</v>
      </c>
      <c r="J74" s="9">
        <v>1</v>
      </c>
      <c r="K74" s="9">
        <v>160</v>
      </c>
      <c r="L74" s="9">
        <v>2022</v>
      </c>
      <c r="M74" s="8" t="s">
        <v>547</v>
      </c>
      <c r="N74" s="8" t="s">
        <v>41</v>
      </c>
      <c r="O74" s="8" t="s">
        <v>54</v>
      </c>
      <c r="P74" s="6" t="s">
        <v>43</v>
      </c>
      <c r="Q74" s="8" t="s">
        <v>44</v>
      </c>
      <c r="R74" s="10" t="s">
        <v>548</v>
      </c>
      <c r="S74" s="11"/>
      <c r="T74" s="6"/>
      <c r="U74" s="28" t="str">
        <f>HYPERLINK("https://media.infra-m.ru/1209/1209858/cover/1209858.jpg", "Обложка")</f>
        <v>Обложка</v>
      </c>
      <c r="V74" s="28" t="str">
        <f>HYPERLINK("https://znanium.com/catalog/product/1209858", "Ознакомиться")</f>
        <v>Ознакомиться</v>
      </c>
      <c r="W74" s="8" t="s">
        <v>549</v>
      </c>
      <c r="X74" s="6"/>
      <c r="Y74" s="6"/>
      <c r="Z74" s="6"/>
      <c r="AA74" s="6" t="s">
        <v>193</v>
      </c>
    </row>
    <row r="75" spans="1:27" s="4" customFormat="1" ht="51.95" customHeight="1">
      <c r="A75" s="5">
        <v>0</v>
      </c>
      <c r="B75" s="6" t="s">
        <v>550</v>
      </c>
      <c r="C75" s="13">
        <v>764.9</v>
      </c>
      <c r="D75" s="8" t="s">
        <v>551</v>
      </c>
      <c r="E75" s="8" t="s">
        <v>552</v>
      </c>
      <c r="F75" s="8" t="s">
        <v>553</v>
      </c>
      <c r="G75" s="6" t="s">
        <v>121</v>
      </c>
      <c r="H75" s="6" t="s">
        <v>554</v>
      </c>
      <c r="I75" s="8" t="s">
        <v>130</v>
      </c>
      <c r="J75" s="9">
        <v>1</v>
      </c>
      <c r="K75" s="9">
        <v>202</v>
      </c>
      <c r="L75" s="9">
        <v>2022</v>
      </c>
      <c r="M75" s="8" t="s">
        <v>555</v>
      </c>
      <c r="N75" s="8" t="s">
        <v>41</v>
      </c>
      <c r="O75" s="8" t="s">
        <v>54</v>
      </c>
      <c r="P75" s="6" t="s">
        <v>65</v>
      </c>
      <c r="Q75" s="8" t="s">
        <v>66</v>
      </c>
      <c r="R75" s="10" t="s">
        <v>556</v>
      </c>
      <c r="S75" s="11" t="s">
        <v>557</v>
      </c>
      <c r="T75" s="6"/>
      <c r="U75" s="28" t="str">
        <f>HYPERLINK("https://media.infra-m.ru/1836/1836638/cover/1836638.jpg", "Обложка")</f>
        <v>Обложка</v>
      </c>
      <c r="V75" s="28" t="str">
        <f>HYPERLINK("https://znanium.com/catalog/product/1836638", "Ознакомиться")</f>
        <v>Ознакомиться</v>
      </c>
      <c r="W75" s="8" t="s">
        <v>558</v>
      </c>
      <c r="X75" s="6"/>
      <c r="Y75" s="6"/>
      <c r="Z75" s="6"/>
      <c r="AA75" s="6" t="s">
        <v>559</v>
      </c>
    </row>
    <row r="76" spans="1:27" s="4" customFormat="1" ht="51.95" customHeight="1">
      <c r="A76" s="5">
        <v>0</v>
      </c>
      <c r="B76" s="6" t="s">
        <v>560</v>
      </c>
      <c r="C76" s="13">
        <v>760</v>
      </c>
      <c r="D76" s="8" t="s">
        <v>561</v>
      </c>
      <c r="E76" s="8" t="s">
        <v>562</v>
      </c>
      <c r="F76" s="8" t="s">
        <v>563</v>
      </c>
      <c r="G76" s="6" t="s">
        <v>52</v>
      </c>
      <c r="H76" s="6" t="s">
        <v>38</v>
      </c>
      <c r="I76" s="8" t="s">
        <v>39</v>
      </c>
      <c r="J76" s="9">
        <v>1</v>
      </c>
      <c r="K76" s="9">
        <v>168</v>
      </c>
      <c r="L76" s="9">
        <v>2023</v>
      </c>
      <c r="M76" s="8" t="s">
        <v>564</v>
      </c>
      <c r="N76" s="8" t="s">
        <v>41</v>
      </c>
      <c r="O76" s="8" t="s">
        <v>181</v>
      </c>
      <c r="P76" s="6" t="s">
        <v>43</v>
      </c>
      <c r="Q76" s="8" t="s">
        <v>44</v>
      </c>
      <c r="R76" s="10" t="s">
        <v>565</v>
      </c>
      <c r="S76" s="11"/>
      <c r="T76" s="6"/>
      <c r="U76" s="28" t="str">
        <f>HYPERLINK("https://media.infra-m.ru/1938/1938938/cover/1938938.jpg", "Обложка")</f>
        <v>Обложка</v>
      </c>
      <c r="V76" s="28" t="str">
        <f>HYPERLINK("https://znanium.com/catalog/product/1938938", "Ознакомиться")</f>
        <v>Ознакомиться</v>
      </c>
      <c r="W76" s="8" t="s">
        <v>566</v>
      </c>
      <c r="X76" s="6"/>
      <c r="Y76" s="6"/>
      <c r="Z76" s="6"/>
      <c r="AA76" s="6" t="s">
        <v>57</v>
      </c>
    </row>
    <row r="77" spans="1:27" s="4" customFormat="1" ht="51.95" customHeight="1">
      <c r="A77" s="5">
        <v>0</v>
      </c>
      <c r="B77" s="6" t="s">
        <v>567</v>
      </c>
      <c r="C77" s="7">
        <v>1150</v>
      </c>
      <c r="D77" s="8" t="s">
        <v>568</v>
      </c>
      <c r="E77" s="8" t="s">
        <v>569</v>
      </c>
      <c r="F77" s="8" t="s">
        <v>570</v>
      </c>
      <c r="G77" s="6" t="s">
        <v>37</v>
      </c>
      <c r="H77" s="6" t="s">
        <v>38</v>
      </c>
      <c r="I77" s="8" t="s">
        <v>130</v>
      </c>
      <c r="J77" s="9">
        <v>1</v>
      </c>
      <c r="K77" s="9">
        <v>222</v>
      </c>
      <c r="L77" s="9">
        <v>2024</v>
      </c>
      <c r="M77" s="8" t="s">
        <v>571</v>
      </c>
      <c r="N77" s="8" t="s">
        <v>41</v>
      </c>
      <c r="O77" s="8" t="s">
        <v>42</v>
      </c>
      <c r="P77" s="6" t="s">
        <v>65</v>
      </c>
      <c r="Q77" s="8" t="s">
        <v>66</v>
      </c>
      <c r="R77" s="10" t="s">
        <v>572</v>
      </c>
      <c r="S77" s="11" t="s">
        <v>573</v>
      </c>
      <c r="T77" s="6"/>
      <c r="U77" s="28" t="str">
        <f>HYPERLINK("https://media.infra-m.ru/2047/2047214/cover/2047214.jpg", "Обложка")</f>
        <v>Обложка</v>
      </c>
      <c r="V77" s="28" t="str">
        <f>HYPERLINK("https://znanium.com/catalog/product/2047214", "Ознакомиться")</f>
        <v>Ознакомиться</v>
      </c>
      <c r="W77" s="8" t="s">
        <v>216</v>
      </c>
      <c r="X77" s="6"/>
      <c r="Y77" s="6"/>
      <c r="Z77" s="6"/>
      <c r="AA77" s="6" t="s">
        <v>574</v>
      </c>
    </row>
    <row r="78" spans="1:27" s="4" customFormat="1" ht="51.95" customHeight="1">
      <c r="A78" s="5">
        <v>0</v>
      </c>
      <c r="B78" s="6" t="s">
        <v>575</v>
      </c>
      <c r="C78" s="7">
        <v>1400</v>
      </c>
      <c r="D78" s="8" t="s">
        <v>576</v>
      </c>
      <c r="E78" s="8" t="s">
        <v>577</v>
      </c>
      <c r="F78" s="8" t="s">
        <v>578</v>
      </c>
      <c r="G78" s="6" t="s">
        <v>37</v>
      </c>
      <c r="H78" s="6" t="s">
        <v>38</v>
      </c>
      <c r="I78" s="8"/>
      <c r="J78" s="9">
        <v>1</v>
      </c>
      <c r="K78" s="9">
        <v>368</v>
      </c>
      <c r="L78" s="9">
        <v>2022</v>
      </c>
      <c r="M78" s="8" t="s">
        <v>579</v>
      </c>
      <c r="N78" s="8" t="s">
        <v>41</v>
      </c>
      <c r="O78" s="8" t="s">
        <v>54</v>
      </c>
      <c r="P78" s="6" t="s">
        <v>65</v>
      </c>
      <c r="Q78" s="8" t="s">
        <v>66</v>
      </c>
      <c r="R78" s="10" t="s">
        <v>580</v>
      </c>
      <c r="S78" s="11" t="s">
        <v>581</v>
      </c>
      <c r="T78" s="6"/>
      <c r="U78" s="28" t="str">
        <f>HYPERLINK("https://media.infra-m.ru/1852/1852192/cover/1852192.jpg", "Обложка")</f>
        <v>Обложка</v>
      </c>
      <c r="V78" s="28" t="str">
        <f>HYPERLINK("https://znanium.com/catalog/product/1852192", "Ознакомиться")</f>
        <v>Ознакомиться</v>
      </c>
      <c r="W78" s="8" t="s">
        <v>582</v>
      </c>
      <c r="X78" s="6"/>
      <c r="Y78" s="6"/>
      <c r="Z78" s="6"/>
      <c r="AA78" s="6" t="s">
        <v>100</v>
      </c>
    </row>
    <row r="79" spans="1:27" s="4" customFormat="1" ht="51.95" customHeight="1">
      <c r="A79" s="5">
        <v>0</v>
      </c>
      <c r="B79" s="6" t="s">
        <v>583</v>
      </c>
      <c r="C79" s="13">
        <v>744</v>
      </c>
      <c r="D79" s="8" t="s">
        <v>584</v>
      </c>
      <c r="E79" s="8" t="s">
        <v>585</v>
      </c>
      <c r="F79" s="8" t="s">
        <v>586</v>
      </c>
      <c r="G79" s="6" t="s">
        <v>37</v>
      </c>
      <c r="H79" s="6" t="s">
        <v>38</v>
      </c>
      <c r="I79" s="8" t="s">
        <v>587</v>
      </c>
      <c r="J79" s="9">
        <v>1</v>
      </c>
      <c r="K79" s="9">
        <v>163</v>
      </c>
      <c r="L79" s="9">
        <v>2023</v>
      </c>
      <c r="M79" s="8" t="s">
        <v>588</v>
      </c>
      <c r="N79" s="8" t="s">
        <v>41</v>
      </c>
      <c r="O79" s="8" t="s">
        <v>54</v>
      </c>
      <c r="P79" s="6" t="s">
        <v>65</v>
      </c>
      <c r="Q79" s="8" t="s">
        <v>66</v>
      </c>
      <c r="R79" s="10" t="s">
        <v>245</v>
      </c>
      <c r="S79" s="11" t="s">
        <v>589</v>
      </c>
      <c r="T79" s="6"/>
      <c r="U79" s="28" t="str">
        <f>HYPERLINK("https://media.infra-m.ru/2030/2030856/cover/2030856.jpg", "Обложка")</f>
        <v>Обложка</v>
      </c>
      <c r="V79" s="28" t="str">
        <f>HYPERLINK("https://znanium.com/catalog/product/1221059", "Ознакомиться")</f>
        <v>Ознакомиться</v>
      </c>
      <c r="W79" s="8" t="s">
        <v>590</v>
      </c>
      <c r="X79" s="6"/>
      <c r="Y79" s="6"/>
      <c r="Z79" s="6"/>
      <c r="AA79" s="6" t="s">
        <v>193</v>
      </c>
    </row>
    <row r="80" spans="1:27" s="4" customFormat="1" ht="51.95" customHeight="1">
      <c r="A80" s="5">
        <v>0</v>
      </c>
      <c r="B80" s="6" t="s">
        <v>591</v>
      </c>
      <c r="C80" s="13">
        <v>710</v>
      </c>
      <c r="D80" s="8" t="s">
        <v>592</v>
      </c>
      <c r="E80" s="8" t="s">
        <v>593</v>
      </c>
      <c r="F80" s="8" t="s">
        <v>594</v>
      </c>
      <c r="G80" s="6" t="s">
        <v>52</v>
      </c>
      <c r="H80" s="6" t="s">
        <v>38</v>
      </c>
      <c r="I80" s="8" t="s">
        <v>62</v>
      </c>
      <c r="J80" s="9">
        <v>1</v>
      </c>
      <c r="K80" s="9">
        <v>158</v>
      </c>
      <c r="L80" s="9">
        <v>2023</v>
      </c>
      <c r="M80" s="8" t="s">
        <v>595</v>
      </c>
      <c r="N80" s="8" t="s">
        <v>41</v>
      </c>
      <c r="O80" s="8" t="s">
        <v>54</v>
      </c>
      <c r="P80" s="6" t="s">
        <v>65</v>
      </c>
      <c r="Q80" s="8" t="s">
        <v>66</v>
      </c>
      <c r="R80" s="10" t="s">
        <v>596</v>
      </c>
      <c r="S80" s="11" t="s">
        <v>597</v>
      </c>
      <c r="T80" s="6"/>
      <c r="U80" s="28" t="str">
        <f>HYPERLINK("https://media.infra-m.ru/1915/1915656/cover/1915656.jpg", "Обложка")</f>
        <v>Обложка</v>
      </c>
      <c r="V80" s="28" t="str">
        <f>HYPERLINK("https://znanium.com/catalog/product/1915656", "Ознакомиться")</f>
        <v>Ознакомиться</v>
      </c>
      <c r="W80" s="8" t="s">
        <v>582</v>
      </c>
      <c r="X80" s="6"/>
      <c r="Y80" s="6"/>
      <c r="Z80" s="6"/>
      <c r="AA80" s="6" t="s">
        <v>598</v>
      </c>
    </row>
    <row r="81" spans="1:27" s="4" customFormat="1" ht="44.1" customHeight="1">
      <c r="A81" s="5">
        <v>0</v>
      </c>
      <c r="B81" s="6" t="s">
        <v>599</v>
      </c>
      <c r="C81" s="13">
        <v>820</v>
      </c>
      <c r="D81" s="8" t="s">
        <v>600</v>
      </c>
      <c r="E81" s="8" t="s">
        <v>601</v>
      </c>
      <c r="F81" s="8" t="s">
        <v>602</v>
      </c>
      <c r="G81" s="6" t="s">
        <v>52</v>
      </c>
      <c r="H81" s="6" t="s">
        <v>122</v>
      </c>
      <c r="I81" s="8" t="s">
        <v>39</v>
      </c>
      <c r="J81" s="9">
        <v>1</v>
      </c>
      <c r="K81" s="9">
        <v>234</v>
      </c>
      <c r="L81" s="9">
        <v>2020</v>
      </c>
      <c r="M81" s="8" t="s">
        <v>603</v>
      </c>
      <c r="N81" s="8" t="s">
        <v>41</v>
      </c>
      <c r="O81" s="8" t="s">
        <v>54</v>
      </c>
      <c r="P81" s="6" t="s">
        <v>43</v>
      </c>
      <c r="Q81" s="8" t="s">
        <v>44</v>
      </c>
      <c r="R81" s="10" t="s">
        <v>604</v>
      </c>
      <c r="S81" s="11"/>
      <c r="T81" s="6"/>
      <c r="U81" s="28" t="str">
        <f>HYPERLINK("https://media.infra-m.ru/1065/1065834/cover/1065834.jpg", "Обложка")</f>
        <v>Обложка</v>
      </c>
      <c r="V81" s="12"/>
      <c r="W81" s="8"/>
      <c r="X81" s="6"/>
      <c r="Y81" s="6"/>
      <c r="Z81" s="6"/>
      <c r="AA81" s="6" t="s">
        <v>193</v>
      </c>
    </row>
    <row r="82" spans="1:27" s="4" customFormat="1" ht="42" customHeight="1">
      <c r="A82" s="5">
        <v>0</v>
      </c>
      <c r="B82" s="6" t="s">
        <v>605</v>
      </c>
      <c r="C82" s="13">
        <v>790</v>
      </c>
      <c r="D82" s="8" t="s">
        <v>606</v>
      </c>
      <c r="E82" s="8" t="s">
        <v>607</v>
      </c>
      <c r="F82" s="8" t="s">
        <v>608</v>
      </c>
      <c r="G82" s="6" t="s">
        <v>52</v>
      </c>
      <c r="H82" s="6" t="s">
        <v>38</v>
      </c>
      <c r="I82" s="8" t="s">
        <v>39</v>
      </c>
      <c r="J82" s="9">
        <v>1</v>
      </c>
      <c r="K82" s="9">
        <v>175</v>
      </c>
      <c r="L82" s="9">
        <v>2023</v>
      </c>
      <c r="M82" s="8" t="s">
        <v>609</v>
      </c>
      <c r="N82" s="8" t="s">
        <v>41</v>
      </c>
      <c r="O82" s="8" t="s">
        <v>64</v>
      </c>
      <c r="P82" s="6" t="s">
        <v>43</v>
      </c>
      <c r="Q82" s="8" t="s">
        <v>44</v>
      </c>
      <c r="R82" s="10" t="s">
        <v>610</v>
      </c>
      <c r="S82" s="11"/>
      <c r="T82" s="6"/>
      <c r="U82" s="28" t="str">
        <f>HYPERLINK("https://media.infra-m.ru/1913/1913226/cover/1913226.jpg", "Обложка")</f>
        <v>Обложка</v>
      </c>
      <c r="V82" s="28" t="str">
        <f>HYPERLINK("https://znanium.com/catalog/product/1913226", "Ознакомиться")</f>
        <v>Ознакомиться</v>
      </c>
      <c r="W82" s="8" t="s">
        <v>611</v>
      </c>
      <c r="X82" s="6"/>
      <c r="Y82" s="6"/>
      <c r="Z82" s="6"/>
      <c r="AA82" s="6" t="s">
        <v>91</v>
      </c>
    </row>
    <row r="83" spans="1:27" s="4" customFormat="1" ht="51.95" customHeight="1">
      <c r="A83" s="5">
        <v>0</v>
      </c>
      <c r="B83" s="6" t="s">
        <v>612</v>
      </c>
      <c r="C83" s="7">
        <v>1374</v>
      </c>
      <c r="D83" s="8" t="s">
        <v>613</v>
      </c>
      <c r="E83" s="8" t="s">
        <v>614</v>
      </c>
      <c r="F83" s="8" t="s">
        <v>615</v>
      </c>
      <c r="G83" s="6" t="s">
        <v>37</v>
      </c>
      <c r="H83" s="6" t="s">
        <v>355</v>
      </c>
      <c r="I83" s="8" t="s">
        <v>616</v>
      </c>
      <c r="J83" s="9">
        <v>1</v>
      </c>
      <c r="K83" s="9">
        <v>298</v>
      </c>
      <c r="L83" s="9">
        <v>2022</v>
      </c>
      <c r="M83" s="8" t="s">
        <v>617</v>
      </c>
      <c r="N83" s="8" t="s">
        <v>41</v>
      </c>
      <c r="O83" s="8" t="s">
        <v>64</v>
      </c>
      <c r="P83" s="6" t="s">
        <v>65</v>
      </c>
      <c r="Q83" s="8" t="s">
        <v>86</v>
      </c>
      <c r="R83" s="10" t="s">
        <v>618</v>
      </c>
      <c r="S83" s="11" t="s">
        <v>619</v>
      </c>
      <c r="T83" s="6"/>
      <c r="U83" s="28" t="str">
        <f>HYPERLINK("https://media.infra-m.ru/2110/2110060/cover/2110060.jpg", "Обложка")</f>
        <v>Обложка</v>
      </c>
      <c r="V83" s="28" t="str">
        <f>HYPERLINK("https://znanium.com/catalog/product/1865947", "Ознакомиться")</f>
        <v>Ознакомиться</v>
      </c>
      <c r="W83" s="8" t="s">
        <v>620</v>
      </c>
      <c r="X83" s="6"/>
      <c r="Y83" s="6"/>
      <c r="Z83" s="6"/>
      <c r="AA83" s="6" t="s">
        <v>91</v>
      </c>
    </row>
    <row r="84" spans="1:27" s="4" customFormat="1" ht="51.95" customHeight="1">
      <c r="A84" s="5">
        <v>0</v>
      </c>
      <c r="B84" s="6" t="s">
        <v>621</v>
      </c>
      <c r="C84" s="13">
        <v>990</v>
      </c>
      <c r="D84" s="8" t="s">
        <v>622</v>
      </c>
      <c r="E84" s="8" t="s">
        <v>623</v>
      </c>
      <c r="F84" s="8" t="s">
        <v>624</v>
      </c>
      <c r="G84" s="6" t="s">
        <v>52</v>
      </c>
      <c r="H84" s="6" t="s">
        <v>38</v>
      </c>
      <c r="I84" s="8" t="s">
        <v>625</v>
      </c>
      <c r="J84" s="9">
        <v>1</v>
      </c>
      <c r="K84" s="9">
        <v>217</v>
      </c>
      <c r="L84" s="9">
        <v>2023</v>
      </c>
      <c r="M84" s="8" t="s">
        <v>626</v>
      </c>
      <c r="N84" s="8" t="s">
        <v>41</v>
      </c>
      <c r="O84" s="8" t="s">
        <v>64</v>
      </c>
      <c r="P84" s="6" t="s">
        <v>43</v>
      </c>
      <c r="Q84" s="8" t="s">
        <v>44</v>
      </c>
      <c r="R84" s="10" t="s">
        <v>627</v>
      </c>
      <c r="S84" s="11"/>
      <c r="T84" s="6"/>
      <c r="U84" s="28" t="str">
        <f>HYPERLINK("https://media.infra-m.ru/1903/1903343/cover/1903343.jpg", "Обложка")</f>
        <v>Обложка</v>
      </c>
      <c r="V84" s="28" t="str">
        <f>HYPERLINK("https://znanium.com/catalog/product/2121218", "Ознакомиться")</f>
        <v>Ознакомиться</v>
      </c>
      <c r="W84" s="8" t="s">
        <v>90</v>
      </c>
      <c r="X84" s="6" t="s">
        <v>628</v>
      </c>
      <c r="Y84" s="6"/>
      <c r="Z84" s="6"/>
      <c r="AA84" s="6" t="s">
        <v>574</v>
      </c>
    </row>
    <row r="85" spans="1:27" s="4" customFormat="1" ht="51.95" customHeight="1">
      <c r="A85" s="5">
        <v>0</v>
      </c>
      <c r="B85" s="6" t="s">
        <v>629</v>
      </c>
      <c r="C85" s="7">
        <v>1350</v>
      </c>
      <c r="D85" s="8" t="s">
        <v>630</v>
      </c>
      <c r="E85" s="8" t="s">
        <v>631</v>
      </c>
      <c r="F85" s="8" t="s">
        <v>426</v>
      </c>
      <c r="G85" s="6" t="s">
        <v>52</v>
      </c>
      <c r="H85" s="6" t="s">
        <v>38</v>
      </c>
      <c r="I85" s="8" t="s">
        <v>39</v>
      </c>
      <c r="J85" s="9">
        <v>1</v>
      </c>
      <c r="K85" s="9">
        <v>306</v>
      </c>
      <c r="L85" s="9">
        <v>2022</v>
      </c>
      <c r="M85" s="8" t="s">
        <v>632</v>
      </c>
      <c r="N85" s="8" t="s">
        <v>41</v>
      </c>
      <c r="O85" s="8" t="s">
        <v>54</v>
      </c>
      <c r="P85" s="6" t="s">
        <v>43</v>
      </c>
      <c r="Q85" s="8" t="s">
        <v>44</v>
      </c>
      <c r="R85" s="10" t="s">
        <v>633</v>
      </c>
      <c r="S85" s="11"/>
      <c r="T85" s="6"/>
      <c r="U85" s="28" t="str">
        <f>HYPERLINK("https://media.infra-m.ru/1852/1852616/cover/1852616.jpg", "Обложка")</f>
        <v>Обложка</v>
      </c>
      <c r="V85" s="28" t="str">
        <f>HYPERLINK("https://znanium.com/catalog/product/1852616", "Ознакомиться")</f>
        <v>Ознакомиться</v>
      </c>
      <c r="W85" s="8" t="s">
        <v>429</v>
      </c>
      <c r="X85" s="6"/>
      <c r="Y85" s="6"/>
      <c r="Z85" s="6"/>
      <c r="AA85" s="6" t="s">
        <v>78</v>
      </c>
    </row>
    <row r="86" spans="1:27" s="4" customFormat="1" ht="51.95" customHeight="1">
      <c r="A86" s="5">
        <v>0</v>
      </c>
      <c r="B86" s="6" t="s">
        <v>634</v>
      </c>
      <c r="C86" s="7">
        <v>1164</v>
      </c>
      <c r="D86" s="8" t="s">
        <v>635</v>
      </c>
      <c r="E86" s="8" t="s">
        <v>636</v>
      </c>
      <c r="F86" s="8" t="s">
        <v>637</v>
      </c>
      <c r="G86" s="6" t="s">
        <v>37</v>
      </c>
      <c r="H86" s="6" t="s">
        <v>264</v>
      </c>
      <c r="I86" s="8" t="s">
        <v>187</v>
      </c>
      <c r="J86" s="9">
        <v>1</v>
      </c>
      <c r="K86" s="9">
        <v>252</v>
      </c>
      <c r="L86" s="9">
        <v>2024</v>
      </c>
      <c r="M86" s="8" t="s">
        <v>638</v>
      </c>
      <c r="N86" s="8" t="s">
        <v>41</v>
      </c>
      <c r="O86" s="8" t="s">
        <v>54</v>
      </c>
      <c r="P86" s="6" t="s">
        <v>639</v>
      </c>
      <c r="Q86" s="8" t="s">
        <v>189</v>
      </c>
      <c r="R86" s="10" t="s">
        <v>640</v>
      </c>
      <c r="S86" s="11" t="s">
        <v>641</v>
      </c>
      <c r="T86" s="6" t="s">
        <v>89</v>
      </c>
      <c r="U86" s="28" t="str">
        <f>HYPERLINK("https://media.infra-m.ru/1894/1894473/cover/1894473.jpg", "Обложка")</f>
        <v>Обложка</v>
      </c>
      <c r="V86" s="28" t="str">
        <f>HYPERLINK("https://znanium.com/catalog/product/1861892", "Ознакомиться")</f>
        <v>Ознакомиться</v>
      </c>
      <c r="W86" s="8" t="s">
        <v>642</v>
      </c>
      <c r="X86" s="6"/>
      <c r="Y86" s="6"/>
      <c r="Z86" s="6" t="s">
        <v>192</v>
      </c>
      <c r="AA86" s="6" t="s">
        <v>135</v>
      </c>
    </row>
    <row r="87" spans="1:27" s="4" customFormat="1" ht="51.95" customHeight="1">
      <c r="A87" s="5">
        <v>0</v>
      </c>
      <c r="B87" s="6" t="s">
        <v>643</v>
      </c>
      <c r="C87" s="7">
        <v>1180</v>
      </c>
      <c r="D87" s="8" t="s">
        <v>644</v>
      </c>
      <c r="E87" s="8" t="s">
        <v>645</v>
      </c>
      <c r="F87" s="8" t="s">
        <v>637</v>
      </c>
      <c r="G87" s="6" t="s">
        <v>37</v>
      </c>
      <c r="H87" s="6" t="s">
        <v>264</v>
      </c>
      <c r="I87" s="8" t="s">
        <v>130</v>
      </c>
      <c r="J87" s="9">
        <v>1</v>
      </c>
      <c r="K87" s="9">
        <v>252</v>
      </c>
      <c r="L87" s="9">
        <v>2024</v>
      </c>
      <c r="M87" s="8" t="s">
        <v>646</v>
      </c>
      <c r="N87" s="8" t="s">
        <v>41</v>
      </c>
      <c r="O87" s="8" t="s">
        <v>54</v>
      </c>
      <c r="P87" s="6" t="s">
        <v>639</v>
      </c>
      <c r="Q87" s="8" t="s">
        <v>66</v>
      </c>
      <c r="R87" s="10" t="s">
        <v>647</v>
      </c>
      <c r="S87" s="11" t="s">
        <v>648</v>
      </c>
      <c r="T87" s="6" t="s">
        <v>89</v>
      </c>
      <c r="U87" s="28" t="str">
        <f>HYPERLINK("https://media.infra-m.ru/2094/2094477/cover/2094477.jpg", "Обложка")</f>
        <v>Обложка</v>
      </c>
      <c r="V87" s="28" t="str">
        <f>HYPERLINK("https://znanium.com/catalog/product/2094477", "Ознакомиться")</f>
        <v>Ознакомиться</v>
      </c>
      <c r="W87" s="8" t="s">
        <v>642</v>
      </c>
      <c r="X87" s="6"/>
      <c r="Y87" s="6"/>
      <c r="Z87" s="6"/>
      <c r="AA87" s="6" t="s">
        <v>108</v>
      </c>
    </row>
    <row r="88" spans="1:27" s="4" customFormat="1" ht="51.95" customHeight="1">
      <c r="A88" s="5">
        <v>0</v>
      </c>
      <c r="B88" s="6" t="s">
        <v>649</v>
      </c>
      <c r="C88" s="7">
        <v>1054</v>
      </c>
      <c r="D88" s="8" t="s">
        <v>650</v>
      </c>
      <c r="E88" s="8" t="s">
        <v>651</v>
      </c>
      <c r="F88" s="8" t="s">
        <v>652</v>
      </c>
      <c r="G88" s="6" t="s">
        <v>37</v>
      </c>
      <c r="H88" s="6" t="s">
        <v>38</v>
      </c>
      <c r="I88" s="8" t="s">
        <v>653</v>
      </c>
      <c r="J88" s="9">
        <v>1</v>
      </c>
      <c r="K88" s="9">
        <v>228</v>
      </c>
      <c r="L88" s="9">
        <v>2024</v>
      </c>
      <c r="M88" s="8" t="s">
        <v>654</v>
      </c>
      <c r="N88" s="8" t="s">
        <v>41</v>
      </c>
      <c r="O88" s="8" t="s">
        <v>42</v>
      </c>
      <c r="P88" s="6" t="s">
        <v>65</v>
      </c>
      <c r="Q88" s="8" t="s">
        <v>66</v>
      </c>
      <c r="R88" s="10" t="s">
        <v>655</v>
      </c>
      <c r="S88" s="11" t="s">
        <v>656</v>
      </c>
      <c r="T88" s="6"/>
      <c r="U88" s="28" t="str">
        <f>HYPERLINK("https://media.infra-m.ru/2079/2079627/cover/2079627.jpg", "Обложка")</f>
        <v>Обложка</v>
      </c>
      <c r="V88" s="28" t="str">
        <f>HYPERLINK("https://znanium.com/catalog/product/1906871", "Ознакомиться")</f>
        <v>Ознакомиться</v>
      </c>
      <c r="W88" s="8" t="s">
        <v>657</v>
      </c>
      <c r="X88" s="6"/>
      <c r="Y88" s="6"/>
      <c r="Z88" s="6"/>
      <c r="AA88" s="6" t="s">
        <v>193</v>
      </c>
    </row>
    <row r="89" spans="1:27" s="4" customFormat="1" ht="51.95" customHeight="1">
      <c r="A89" s="5">
        <v>0</v>
      </c>
      <c r="B89" s="6" t="s">
        <v>658</v>
      </c>
      <c r="C89" s="13">
        <v>799.9</v>
      </c>
      <c r="D89" s="8" t="s">
        <v>659</v>
      </c>
      <c r="E89" s="8" t="s">
        <v>660</v>
      </c>
      <c r="F89" s="8" t="s">
        <v>661</v>
      </c>
      <c r="G89" s="6" t="s">
        <v>662</v>
      </c>
      <c r="H89" s="6" t="s">
        <v>38</v>
      </c>
      <c r="I89" s="8" t="s">
        <v>62</v>
      </c>
      <c r="J89" s="9">
        <v>8</v>
      </c>
      <c r="K89" s="9">
        <v>491</v>
      </c>
      <c r="L89" s="9">
        <v>2015</v>
      </c>
      <c r="M89" s="8" t="s">
        <v>663</v>
      </c>
      <c r="N89" s="8" t="s">
        <v>41</v>
      </c>
      <c r="O89" s="8" t="s">
        <v>54</v>
      </c>
      <c r="P89" s="6" t="s">
        <v>65</v>
      </c>
      <c r="Q89" s="8" t="s">
        <v>66</v>
      </c>
      <c r="R89" s="10" t="s">
        <v>664</v>
      </c>
      <c r="S89" s="11" t="s">
        <v>665</v>
      </c>
      <c r="T89" s="6"/>
      <c r="U89" s="28" t="str">
        <f>HYPERLINK("https://media.infra-m.ru/0507/0507318/cover/507318.jpg", "Обложка")</f>
        <v>Обложка</v>
      </c>
      <c r="V89" s="28" t="str">
        <f>HYPERLINK("https://znanium.com/catalog/product/507318", "Ознакомиться")</f>
        <v>Ознакомиться</v>
      </c>
      <c r="W89" s="8" t="s">
        <v>666</v>
      </c>
      <c r="X89" s="6"/>
      <c r="Y89" s="6"/>
      <c r="Z89" s="6"/>
      <c r="AA89" s="6" t="s">
        <v>667</v>
      </c>
    </row>
    <row r="90" spans="1:27" s="4" customFormat="1" ht="42" customHeight="1">
      <c r="A90" s="5">
        <v>0</v>
      </c>
      <c r="B90" s="6" t="s">
        <v>668</v>
      </c>
      <c r="C90" s="7">
        <v>1994.9</v>
      </c>
      <c r="D90" s="8" t="s">
        <v>669</v>
      </c>
      <c r="E90" s="8" t="s">
        <v>670</v>
      </c>
      <c r="F90" s="8" t="s">
        <v>671</v>
      </c>
      <c r="G90" s="6" t="s">
        <v>121</v>
      </c>
      <c r="H90" s="6" t="s">
        <v>38</v>
      </c>
      <c r="I90" s="8" t="s">
        <v>62</v>
      </c>
      <c r="J90" s="9">
        <v>1</v>
      </c>
      <c r="K90" s="9">
        <v>539</v>
      </c>
      <c r="L90" s="9">
        <v>2023</v>
      </c>
      <c r="M90" s="8" t="s">
        <v>672</v>
      </c>
      <c r="N90" s="8" t="s">
        <v>41</v>
      </c>
      <c r="O90" s="8" t="s">
        <v>54</v>
      </c>
      <c r="P90" s="6" t="s">
        <v>65</v>
      </c>
      <c r="Q90" s="8" t="s">
        <v>66</v>
      </c>
      <c r="R90" s="10" t="s">
        <v>673</v>
      </c>
      <c r="S90" s="11"/>
      <c r="T90" s="6"/>
      <c r="U90" s="28" t="str">
        <f>HYPERLINK("https://media.infra-m.ru/1911/1911212/cover/1911212.jpg", "Обложка")</f>
        <v>Обложка</v>
      </c>
      <c r="V90" s="28" t="str">
        <f>HYPERLINK("https://znanium.com/catalog/product/1852242", "Ознакомиться")</f>
        <v>Ознакомиться</v>
      </c>
      <c r="W90" s="8" t="s">
        <v>216</v>
      </c>
      <c r="X90" s="6"/>
      <c r="Y90" s="6"/>
      <c r="Z90" s="6"/>
      <c r="AA90" s="6" t="s">
        <v>674</v>
      </c>
    </row>
    <row r="91" spans="1:27" s="4" customFormat="1" ht="51.95" customHeight="1">
      <c r="A91" s="5">
        <v>0</v>
      </c>
      <c r="B91" s="6" t="s">
        <v>675</v>
      </c>
      <c r="C91" s="7">
        <v>1084.9000000000001</v>
      </c>
      <c r="D91" s="8" t="s">
        <v>676</v>
      </c>
      <c r="E91" s="8" t="s">
        <v>677</v>
      </c>
      <c r="F91" s="8" t="s">
        <v>678</v>
      </c>
      <c r="G91" s="6" t="s">
        <v>121</v>
      </c>
      <c r="H91" s="6" t="s">
        <v>679</v>
      </c>
      <c r="I91" s="8" t="s">
        <v>680</v>
      </c>
      <c r="J91" s="9">
        <v>1</v>
      </c>
      <c r="K91" s="9">
        <v>240</v>
      </c>
      <c r="L91" s="9">
        <v>2023</v>
      </c>
      <c r="M91" s="8" t="s">
        <v>681</v>
      </c>
      <c r="N91" s="8" t="s">
        <v>41</v>
      </c>
      <c r="O91" s="8" t="s">
        <v>54</v>
      </c>
      <c r="P91" s="6" t="s">
        <v>85</v>
      </c>
      <c r="Q91" s="8" t="s">
        <v>66</v>
      </c>
      <c r="R91" s="10" t="s">
        <v>682</v>
      </c>
      <c r="S91" s="11" t="s">
        <v>683</v>
      </c>
      <c r="T91" s="6"/>
      <c r="U91" s="28" t="str">
        <f>HYPERLINK("https://media.infra-m.ru/1981/1981624/cover/1981624.jpg", "Обложка")</f>
        <v>Обложка</v>
      </c>
      <c r="V91" s="28" t="str">
        <f>HYPERLINK("https://znanium.com/catalog/product/960065", "Ознакомиться")</f>
        <v>Ознакомиться</v>
      </c>
      <c r="W91" s="8" t="s">
        <v>684</v>
      </c>
      <c r="X91" s="6"/>
      <c r="Y91" s="6"/>
      <c r="Z91" s="6"/>
      <c r="AA91" s="6" t="s">
        <v>100</v>
      </c>
    </row>
    <row r="92" spans="1:27" s="4" customFormat="1" ht="44.1" customHeight="1">
      <c r="A92" s="5">
        <v>0</v>
      </c>
      <c r="B92" s="6" t="s">
        <v>685</v>
      </c>
      <c r="C92" s="13">
        <v>730</v>
      </c>
      <c r="D92" s="8" t="s">
        <v>686</v>
      </c>
      <c r="E92" s="8" t="s">
        <v>687</v>
      </c>
      <c r="F92" s="8" t="s">
        <v>688</v>
      </c>
      <c r="G92" s="6" t="s">
        <v>52</v>
      </c>
      <c r="H92" s="6" t="s">
        <v>264</v>
      </c>
      <c r="I92" s="8"/>
      <c r="J92" s="9">
        <v>1</v>
      </c>
      <c r="K92" s="9">
        <v>160</v>
      </c>
      <c r="L92" s="9">
        <v>2023</v>
      </c>
      <c r="M92" s="8" t="s">
        <v>689</v>
      </c>
      <c r="N92" s="8" t="s">
        <v>41</v>
      </c>
      <c r="O92" s="8" t="s">
        <v>54</v>
      </c>
      <c r="P92" s="6" t="s">
        <v>65</v>
      </c>
      <c r="Q92" s="8" t="s">
        <v>66</v>
      </c>
      <c r="R92" s="10" t="s">
        <v>690</v>
      </c>
      <c r="S92" s="11"/>
      <c r="T92" s="6"/>
      <c r="U92" s="28" t="str">
        <f>HYPERLINK("https://media.infra-m.ru/1988/1988445/cover/1988445.jpg", "Обложка")</f>
        <v>Обложка</v>
      </c>
      <c r="V92" s="28" t="str">
        <f>HYPERLINK("https://znanium.com/catalog/product/1988445", "Ознакомиться")</f>
        <v>Ознакомиться</v>
      </c>
      <c r="W92" s="8" t="s">
        <v>691</v>
      </c>
      <c r="X92" s="6"/>
      <c r="Y92" s="6"/>
      <c r="Z92" s="6"/>
      <c r="AA92" s="6" t="s">
        <v>161</v>
      </c>
    </row>
    <row r="93" spans="1:27" s="4" customFormat="1" ht="51.95" customHeight="1">
      <c r="A93" s="5">
        <v>0</v>
      </c>
      <c r="B93" s="6" t="s">
        <v>692</v>
      </c>
      <c r="C93" s="7">
        <v>2210</v>
      </c>
      <c r="D93" s="8" t="s">
        <v>693</v>
      </c>
      <c r="E93" s="8" t="s">
        <v>694</v>
      </c>
      <c r="F93" s="8" t="s">
        <v>695</v>
      </c>
      <c r="G93" s="6" t="s">
        <v>121</v>
      </c>
      <c r="H93" s="6" t="s">
        <v>38</v>
      </c>
      <c r="I93" s="8" t="s">
        <v>130</v>
      </c>
      <c r="J93" s="9">
        <v>1</v>
      </c>
      <c r="K93" s="9">
        <v>479</v>
      </c>
      <c r="L93" s="9">
        <v>2024</v>
      </c>
      <c r="M93" s="8" t="s">
        <v>696</v>
      </c>
      <c r="N93" s="8" t="s">
        <v>41</v>
      </c>
      <c r="O93" s="8" t="s">
        <v>54</v>
      </c>
      <c r="P93" s="6" t="s">
        <v>85</v>
      </c>
      <c r="Q93" s="8" t="s">
        <v>66</v>
      </c>
      <c r="R93" s="10" t="s">
        <v>697</v>
      </c>
      <c r="S93" s="11" t="s">
        <v>698</v>
      </c>
      <c r="T93" s="6"/>
      <c r="U93" s="28" t="str">
        <f>HYPERLINK("https://media.infra-m.ru/2085/2085943/cover/2085943.jpg", "Обложка")</f>
        <v>Обложка</v>
      </c>
      <c r="V93" s="28" t="str">
        <f>HYPERLINK("https://znanium.com/catalog/product/2085943", "Ознакомиться")</f>
        <v>Ознакомиться</v>
      </c>
      <c r="W93" s="8" t="s">
        <v>699</v>
      </c>
      <c r="X93" s="6"/>
      <c r="Y93" s="6"/>
      <c r="Z93" s="6"/>
      <c r="AA93" s="6" t="s">
        <v>57</v>
      </c>
    </row>
    <row r="94" spans="1:27" s="4" customFormat="1" ht="51.95" customHeight="1">
      <c r="A94" s="5">
        <v>0</v>
      </c>
      <c r="B94" s="6" t="s">
        <v>700</v>
      </c>
      <c r="C94" s="7">
        <v>1994.9</v>
      </c>
      <c r="D94" s="8" t="s">
        <v>701</v>
      </c>
      <c r="E94" s="8" t="s">
        <v>694</v>
      </c>
      <c r="F94" s="8" t="s">
        <v>702</v>
      </c>
      <c r="G94" s="6" t="s">
        <v>121</v>
      </c>
      <c r="H94" s="6" t="s">
        <v>122</v>
      </c>
      <c r="I94" s="8" t="s">
        <v>298</v>
      </c>
      <c r="J94" s="9">
        <v>1</v>
      </c>
      <c r="K94" s="9">
        <v>752</v>
      </c>
      <c r="L94" s="9">
        <v>2023</v>
      </c>
      <c r="M94" s="8" t="s">
        <v>703</v>
      </c>
      <c r="N94" s="8" t="s">
        <v>41</v>
      </c>
      <c r="O94" s="8" t="s">
        <v>54</v>
      </c>
      <c r="P94" s="6" t="s">
        <v>85</v>
      </c>
      <c r="Q94" s="8" t="s">
        <v>66</v>
      </c>
      <c r="R94" s="10" t="s">
        <v>704</v>
      </c>
      <c r="S94" s="11" t="s">
        <v>705</v>
      </c>
      <c r="T94" s="6"/>
      <c r="U94" s="28" t="str">
        <f>HYPERLINK("https://media.infra-m.ru/1913/1913236/cover/1913236.jpg", "Обложка")</f>
        <v>Обложка</v>
      </c>
      <c r="V94" s="28" t="str">
        <f>HYPERLINK("https://znanium.com/catalog/product/1056564", "Ознакомиться")</f>
        <v>Ознакомиться</v>
      </c>
      <c r="W94" s="8"/>
      <c r="X94" s="6"/>
      <c r="Y94" s="6"/>
      <c r="Z94" s="6"/>
      <c r="AA94" s="6" t="s">
        <v>47</v>
      </c>
    </row>
    <row r="95" spans="1:27" s="4" customFormat="1" ht="51.95" customHeight="1">
      <c r="A95" s="5">
        <v>0</v>
      </c>
      <c r="B95" s="6" t="s">
        <v>706</v>
      </c>
      <c r="C95" s="7">
        <v>1670</v>
      </c>
      <c r="D95" s="8" t="s">
        <v>707</v>
      </c>
      <c r="E95" s="8" t="s">
        <v>708</v>
      </c>
      <c r="F95" s="8" t="s">
        <v>709</v>
      </c>
      <c r="G95" s="6" t="s">
        <v>37</v>
      </c>
      <c r="H95" s="6" t="s">
        <v>554</v>
      </c>
      <c r="I95" s="8" t="s">
        <v>130</v>
      </c>
      <c r="J95" s="9">
        <v>1</v>
      </c>
      <c r="K95" s="9">
        <v>365</v>
      </c>
      <c r="L95" s="9">
        <v>2023</v>
      </c>
      <c r="M95" s="8" t="s">
        <v>710</v>
      </c>
      <c r="N95" s="8" t="s">
        <v>41</v>
      </c>
      <c r="O95" s="8" t="s">
        <v>54</v>
      </c>
      <c r="P95" s="6" t="s">
        <v>65</v>
      </c>
      <c r="Q95" s="8" t="s">
        <v>66</v>
      </c>
      <c r="R95" s="10" t="s">
        <v>711</v>
      </c>
      <c r="S95" s="11" t="s">
        <v>712</v>
      </c>
      <c r="T95" s="6"/>
      <c r="U95" s="28" t="str">
        <f>HYPERLINK("https://media.infra-m.ru/1988/1988446/cover/1988446.jpg", "Обложка")</f>
        <v>Обложка</v>
      </c>
      <c r="V95" s="28" t="str">
        <f>HYPERLINK("https://znanium.com/catalog/product/1067788", "Ознакомиться")</f>
        <v>Ознакомиться</v>
      </c>
      <c r="W95" s="8" t="s">
        <v>713</v>
      </c>
      <c r="X95" s="6"/>
      <c r="Y95" s="6"/>
      <c r="Z95" s="6"/>
      <c r="AA95" s="6" t="s">
        <v>714</v>
      </c>
    </row>
    <row r="96" spans="1:27" s="4" customFormat="1" ht="51.95" customHeight="1">
      <c r="A96" s="5">
        <v>0</v>
      </c>
      <c r="B96" s="6" t="s">
        <v>715</v>
      </c>
      <c r="C96" s="7">
        <v>1794</v>
      </c>
      <c r="D96" s="8" t="s">
        <v>716</v>
      </c>
      <c r="E96" s="8" t="s">
        <v>717</v>
      </c>
      <c r="F96" s="8" t="s">
        <v>718</v>
      </c>
      <c r="G96" s="6" t="s">
        <v>121</v>
      </c>
      <c r="H96" s="6" t="s">
        <v>38</v>
      </c>
      <c r="I96" s="8" t="s">
        <v>62</v>
      </c>
      <c r="J96" s="9">
        <v>1</v>
      </c>
      <c r="K96" s="9">
        <v>395</v>
      </c>
      <c r="L96" s="9">
        <v>2023</v>
      </c>
      <c r="M96" s="8" t="s">
        <v>719</v>
      </c>
      <c r="N96" s="8" t="s">
        <v>41</v>
      </c>
      <c r="O96" s="8" t="s">
        <v>54</v>
      </c>
      <c r="P96" s="6" t="s">
        <v>65</v>
      </c>
      <c r="Q96" s="8" t="s">
        <v>66</v>
      </c>
      <c r="R96" s="10" t="s">
        <v>720</v>
      </c>
      <c r="S96" s="11" t="s">
        <v>721</v>
      </c>
      <c r="T96" s="6"/>
      <c r="U96" s="28" t="str">
        <f>HYPERLINK("https://media.infra-m.ru/1894/1894475/cover/1894475.jpg", "Обложка")</f>
        <v>Обложка</v>
      </c>
      <c r="V96" s="28" t="str">
        <f>HYPERLINK("https://znanium.com/catalog/product/1013723", "Ознакомиться")</f>
        <v>Ознакомиться</v>
      </c>
      <c r="W96" s="8" t="s">
        <v>722</v>
      </c>
      <c r="X96" s="6"/>
      <c r="Y96" s="6"/>
      <c r="Z96" s="6"/>
      <c r="AA96" s="6" t="s">
        <v>135</v>
      </c>
    </row>
    <row r="97" spans="1:27" s="4" customFormat="1" ht="51.95" customHeight="1">
      <c r="A97" s="5">
        <v>0</v>
      </c>
      <c r="B97" s="6" t="s">
        <v>723</v>
      </c>
      <c r="C97" s="7">
        <v>1250</v>
      </c>
      <c r="D97" s="8" t="s">
        <v>724</v>
      </c>
      <c r="E97" s="8" t="s">
        <v>725</v>
      </c>
      <c r="F97" s="8" t="s">
        <v>726</v>
      </c>
      <c r="G97" s="6" t="s">
        <v>37</v>
      </c>
      <c r="H97" s="6" t="s">
        <v>38</v>
      </c>
      <c r="I97" s="8" t="s">
        <v>83</v>
      </c>
      <c r="J97" s="9">
        <v>1</v>
      </c>
      <c r="K97" s="9">
        <v>356</v>
      </c>
      <c r="L97" s="9">
        <v>2021</v>
      </c>
      <c r="M97" s="8" t="s">
        <v>727</v>
      </c>
      <c r="N97" s="8" t="s">
        <v>41</v>
      </c>
      <c r="O97" s="8" t="s">
        <v>64</v>
      </c>
      <c r="P97" s="6" t="s">
        <v>65</v>
      </c>
      <c r="Q97" s="8" t="s">
        <v>86</v>
      </c>
      <c r="R97" s="10" t="s">
        <v>728</v>
      </c>
      <c r="S97" s="11" t="s">
        <v>729</v>
      </c>
      <c r="T97" s="6"/>
      <c r="U97" s="28" t="str">
        <f>HYPERLINK("https://media.infra-m.ru/1133/1133896/cover/1133896.jpg", "Обложка")</f>
        <v>Обложка</v>
      </c>
      <c r="V97" s="28" t="str">
        <f>HYPERLINK("https://znanium.com/catalog/product/1133896", "Ознакомиться")</f>
        <v>Ознакомиться</v>
      </c>
      <c r="W97" s="8" t="s">
        <v>730</v>
      </c>
      <c r="X97" s="6"/>
      <c r="Y97" s="6"/>
      <c r="Z97" s="6"/>
      <c r="AA97" s="6" t="s">
        <v>144</v>
      </c>
    </row>
    <row r="98" spans="1:27" s="4" customFormat="1" ht="51.95" customHeight="1">
      <c r="A98" s="5">
        <v>0</v>
      </c>
      <c r="B98" s="6" t="s">
        <v>731</v>
      </c>
      <c r="C98" s="13">
        <v>670</v>
      </c>
      <c r="D98" s="8" t="s">
        <v>732</v>
      </c>
      <c r="E98" s="8" t="s">
        <v>733</v>
      </c>
      <c r="F98" s="8" t="s">
        <v>734</v>
      </c>
      <c r="G98" s="6" t="s">
        <v>37</v>
      </c>
      <c r="H98" s="6" t="s">
        <v>38</v>
      </c>
      <c r="I98" s="8" t="s">
        <v>62</v>
      </c>
      <c r="J98" s="9">
        <v>1</v>
      </c>
      <c r="K98" s="9">
        <v>177</v>
      </c>
      <c r="L98" s="9">
        <v>2022</v>
      </c>
      <c r="M98" s="8" t="s">
        <v>735</v>
      </c>
      <c r="N98" s="8" t="s">
        <v>41</v>
      </c>
      <c r="O98" s="8" t="s">
        <v>64</v>
      </c>
      <c r="P98" s="6" t="s">
        <v>65</v>
      </c>
      <c r="Q98" s="8" t="s">
        <v>66</v>
      </c>
      <c r="R98" s="10" t="s">
        <v>736</v>
      </c>
      <c r="S98" s="11" t="s">
        <v>737</v>
      </c>
      <c r="T98" s="6"/>
      <c r="U98" s="28" t="str">
        <f>HYPERLINK("https://media.infra-m.ru/1850/1850620/cover/1850620.jpg", "Обложка")</f>
        <v>Обложка</v>
      </c>
      <c r="V98" s="28" t="str">
        <f>HYPERLINK("https://znanium.com/catalog/product/1850620", "Ознакомиться")</f>
        <v>Ознакомиться</v>
      </c>
      <c r="W98" s="8" t="s">
        <v>408</v>
      </c>
      <c r="X98" s="6"/>
      <c r="Y98" s="6"/>
      <c r="Z98" s="6"/>
      <c r="AA98" s="6" t="s">
        <v>738</v>
      </c>
    </row>
    <row r="99" spans="1:27" s="4" customFormat="1" ht="51.95" customHeight="1">
      <c r="A99" s="5">
        <v>0</v>
      </c>
      <c r="B99" s="6" t="s">
        <v>739</v>
      </c>
      <c r="C99" s="7">
        <v>1304</v>
      </c>
      <c r="D99" s="8" t="s">
        <v>740</v>
      </c>
      <c r="E99" s="8" t="s">
        <v>741</v>
      </c>
      <c r="F99" s="8" t="s">
        <v>742</v>
      </c>
      <c r="G99" s="6" t="s">
        <v>121</v>
      </c>
      <c r="H99" s="6" t="s">
        <v>38</v>
      </c>
      <c r="I99" s="8" t="s">
        <v>62</v>
      </c>
      <c r="J99" s="9">
        <v>1</v>
      </c>
      <c r="K99" s="9">
        <v>284</v>
      </c>
      <c r="L99" s="9">
        <v>2024</v>
      </c>
      <c r="M99" s="8" t="s">
        <v>743</v>
      </c>
      <c r="N99" s="8" t="s">
        <v>41</v>
      </c>
      <c r="O99" s="8" t="s">
        <v>64</v>
      </c>
      <c r="P99" s="6" t="s">
        <v>85</v>
      </c>
      <c r="Q99" s="8" t="s">
        <v>66</v>
      </c>
      <c r="R99" s="10" t="s">
        <v>744</v>
      </c>
      <c r="S99" s="11" t="s">
        <v>745</v>
      </c>
      <c r="T99" s="6"/>
      <c r="U99" s="28" t="str">
        <f>HYPERLINK("https://media.infra-m.ru/2084/2084557/cover/2084557.jpg", "Обложка")</f>
        <v>Обложка</v>
      </c>
      <c r="V99" s="28" t="str">
        <f>HYPERLINK("https://znanium.com/catalog/product/1846453", "Ознакомиться")</f>
        <v>Ознакомиться</v>
      </c>
      <c r="W99" s="8" t="s">
        <v>90</v>
      </c>
      <c r="X99" s="6"/>
      <c r="Y99" s="6"/>
      <c r="Z99" s="6"/>
      <c r="AA99" s="6" t="s">
        <v>100</v>
      </c>
    </row>
    <row r="100" spans="1:27" s="4" customFormat="1" ht="51.95" customHeight="1">
      <c r="A100" s="5">
        <v>0</v>
      </c>
      <c r="B100" s="6" t="s">
        <v>746</v>
      </c>
      <c r="C100" s="7">
        <v>1440</v>
      </c>
      <c r="D100" s="8" t="s">
        <v>747</v>
      </c>
      <c r="E100" s="8" t="s">
        <v>748</v>
      </c>
      <c r="F100" s="8" t="s">
        <v>749</v>
      </c>
      <c r="G100" s="6" t="s">
        <v>37</v>
      </c>
      <c r="H100" s="6" t="s">
        <v>38</v>
      </c>
      <c r="I100" s="8" t="s">
        <v>187</v>
      </c>
      <c r="J100" s="9">
        <v>1</v>
      </c>
      <c r="K100" s="9">
        <v>313</v>
      </c>
      <c r="L100" s="9">
        <v>2024</v>
      </c>
      <c r="M100" s="8" t="s">
        <v>750</v>
      </c>
      <c r="N100" s="8" t="s">
        <v>41</v>
      </c>
      <c r="O100" s="8" t="s">
        <v>64</v>
      </c>
      <c r="P100" s="6" t="s">
        <v>85</v>
      </c>
      <c r="Q100" s="8" t="s">
        <v>189</v>
      </c>
      <c r="R100" s="10" t="s">
        <v>751</v>
      </c>
      <c r="S100" s="11" t="s">
        <v>752</v>
      </c>
      <c r="T100" s="6"/>
      <c r="U100" s="28" t="str">
        <f>HYPERLINK("https://media.infra-m.ru/2083/2083376/cover/2083376.jpg", "Обложка")</f>
        <v>Обложка</v>
      </c>
      <c r="V100" s="28" t="str">
        <f>HYPERLINK("https://znanium.com/catalog/product/2083376", "Ознакомиться")</f>
        <v>Ознакомиться</v>
      </c>
      <c r="W100" s="8" t="s">
        <v>753</v>
      </c>
      <c r="X100" s="6"/>
      <c r="Y100" s="6"/>
      <c r="Z100" s="6"/>
      <c r="AA100" s="6" t="s">
        <v>91</v>
      </c>
    </row>
    <row r="101" spans="1:27" s="4" customFormat="1" ht="51.95" customHeight="1">
      <c r="A101" s="5">
        <v>0</v>
      </c>
      <c r="B101" s="6" t="s">
        <v>754</v>
      </c>
      <c r="C101" s="7">
        <v>1324</v>
      </c>
      <c r="D101" s="8" t="s">
        <v>755</v>
      </c>
      <c r="E101" s="8" t="s">
        <v>756</v>
      </c>
      <c r="F101" s="8" t="s">
        <v>757</v>
      </c>
      <c r="G101" s="6" t="s">
        <v>37</v>
      </c>
      <c r="H101" s="6" t="s">
        <v>38</v>
      </c>
      <c r="I101" s="8" t="s">
        <v>62</v>
      </c>
      <c r="J101" s="9">
        <v>1</v>
      </c>
      <c r="K101" s="9">
        <v>288</v>
      </c>
      <c r="L101" s="9">
        <v>2024</v>
      </c>
      <c r="M101" s="8" t="s">
        <v>758</v>
      </c>
      <c r="N101" s="8" t="s">
        <v>41</v>
      </c>
      <c r="O101" s="8" t="s">
        <v>64</v>
      </c>
      <c r="P101" s="6" t="s">
        <v>65</v>
      </c>
      <c r="Q101" s="8" t="s">
        <v>66</v>
      </c>
      <c r="R101" s="10" t="s">
        <v>759</v>
      </c>
      <c r="S101" s="11" t="s">
        <v>760</v>
      </c>
      <c r="T101" s="6" t="s">
        <v>89</v>
      </c>
      <c r="U101" s="28" t="str">
        <f>HYPERLINK("https://media.infra-m.ru/2023/2023108/cover/2023108.jpg", "Обложка")</f>
        <v>Обложка</v>
      </c>
      <c r="V101" s="28" t="str">
        <f>HYPERLINK("https://znanium.com/catalog/product/1039035", "Ознакомиться")</f>
        <v>Ознакомиться</v>
      </c>
      <c r="W101" s="8" t="s">
        <v>313</v>
      </c>
      <c r="X101" s="6"/>
      <c r="Y101" s="6" t="s">
        <v>30</v>
      </c>
      <c r="Z101" s="6"/>
      <c r="AA101" s="6" t="s">
        <v>100</v>
      </c>
    </row>
    <row r="102" spans="1:27" s="4" customFormat="1" ht="51.95" customHeight="1">
      <c r="A102" s="5">
        <v>0</v>
      </c>
      <c r="B102" s="6" t="s">
        <v>761</v>
      </c>
      <c r="C102" s="7">
        <v>3560</v>
      </c>
      <c r="D102" s="8" t="s">
        <v>762</v>
      </c>
      <c r="E102" s="8" t="s">
        <v>763</v>
      </c>
      <c r="F102" s="8" t="s">
        <v>764</v>
      </c>
      <c r="G102" s="6" t="s">
        <v>121</v>
      </c>
      <c r="H102" s="6" t="s">
        <v>38</v>
      </c>
      <c r="I102" s="8" t="s">
        <v>130</v>
      </c>
      <c r="J102" s="9">
        <v>1</v>
      </c>
      <c r="K102" s="9">
        <v>775</v>
      </c>
      <c r="L102" s="9">
        <v>2024</v>
      </c>
      <c r="M102" s="8" t="s">
        <v>765</v>
      </c>
      <c r="N102" s="8" t="s">
        <v>41</v>
      </c>
      <c r="O102" s="8" t="s">
        <v>64</v>
      </c>
      <c r="P102" s="6" t="s">
        <v>85</v>
      </c>
      <c r="Q102" s="8" t="s">
        <v>66</v>
      </c>
      <c r="R102" s="10" t="s">
        <v>766</v>
      </c>
      <c r="S102" s="11" t="s">
        <v>767</v>
      </c>
      <c r="T102" s="6"/>
      <c r="U102" s="28" t="str">
        <f>HYPERLINK("https://media.infra-m.ru/2098/2098102/cover/2098102.jpg", "Обложка")</f>
        <v>Обложка</v>
      </c>
      <c r="V102" s="28" t="str">
        <f>HYPERLINK("https://znanium.com/catalog/product/2098102", "Ознакомиться")</f>
        <v>Ознакомиться</v>
      </c>
      <c r="W102" s="8" t="s">
        <v>768</v>
      </c>
      <c r="X102" s="6"/>
      <c r="Y102" s="6"/>
      <c r="Z102" s="6"/>
      <c r="AA102" s="6" t="s">
        <v>78</v>
      </c>
    </row>
    <row r="103" spans="1:27" s="4" customFormat="1" ht="51.95" customHeight="1">
      <c r="A103" s="5">
        <v>0</v>
      </c>
      <c r="B103" s="6" t="s">
        <v>769</v>
      </c>
      <c r="C103" s="7">
        <v>2252</v>
      </c>
      <c r="D103" s="8" t="s">
        <v>770</v>
      </c>
      <c r="E103" s="8" t="s">
        <v>771</v>
      </c>
      <c r="F103" s="8" t="s">
        <v>772</v>
      </c>
      <c r="G103" s="6" t="s">
        <v>37</v>
      </c>
      <c r="H103" s="6" t="s">
        <v>38</v>
      </c>
      <c r="I103" s="8" t="s">
        <v>130</v>
      </c>
      <c r="J103" s="9">
        <v>1</v>
      </c>
      <c r="K103" s="9">
        <v>384</v>
      </c>
      <c r="L103" s="9">
        <v>2023</v>
      </c>
      <c r="M103" s="8" t="s">
        <v>773</v>
      </c>
      <c r="N103" s="8" t="s">
        <v>41</v>
      </c>
      <c r="O103" s="8" t="s">
        <v>64</v>
      </c>
      <c r="P103" s="6" t="s">
        <v>85</v>
      </c>
      <c r="Q103" s="8" t="s">
        <v>774</v>
      </c>
      <c r="R103" s="10" t="s">
        <v>775</v>
      </c>
      <c r="S103" s="11" t="s">
        <v>776</v>
      </c>
      <c r="T103" s="6"/>
      <c r="U103" s="28" t="str">
        <f>HYPERLINK("https://media.infra-m.ru/2023/2023171/cover/2023171.jpg", "Обложка")</f>
        <v>Обложка</v>
      </c>
      <c r="V103" s="28" t="str">
        <f>HYPERLINK("https://znanium.com/catalog/product/2023171", "Ознакомиться")</f>
        <v>Ознакомиться</v>
      </c>
      <c r="W103" s="8" t="s">
        <v>313</v>
      </c>
      <c r="X103" s="6"/>
      <c r="Y103" s="6"/>
      <c r="Z103" s="6"/>
      <c r="AA103" s="6" t="s">
        <v>161</v>
      </c>
    </row>
    <row r="104" spans="1:27" s="4" customFormat="1" ht="51.95" customHeight="1">
      <c r="A104" s="5">
        <v>0</v>
      </c>
      <c r="B104" s="6" t="s">
        <v>777</v>
      </c>
      <c r="C104" s="13">
        <v>580</v>
      </c>
      <c r="D104" s="8" t="s">
        <v>778</v>
      </c>
      <c r="E104" s="8" t="s">
        <v>779</v>
      </c>
      <c r="F104" s="8" t="s">
        <v>780</v>
      </c>
      <c r="G104" s="6" t="s">
        <v>52</v>
      </c>
      <c r="H104" s="6" t="s">
        <v>38</v>
      </c>
      <c r="I104" s="8" t="s">
        <v>62</v>
      </c>
      <c r="J104" s="9">
        <v>1</v>
      </c>
      <c r="K104" s="9">
        <v>127</v>
      </c>
      <c r="L104" s="9">
        <v>2020</v>
      </c>
      <c r="M104" s="8" t="s">
        <v>781</v>
      </c>
      <c r="N104" s="8" t="s">
        <v>41</v>
      </c>
      <c r="O104" s="8" t="s">
        <v>64</v>
      </c>
      <c r="P104" s="6" t="s">
        <v>65</v>
      </c>
      <c r="Q104" s="8" t="s">
        <v>66</v>
      </c>
      <c r="R104" s="10" t="s">
        <v>782</v>
      </c>
      <c r="S104" s="11" t="s">
        <v>783</v>
      </c>
      <c r="T104" s="6" t="s">
        <v>89</v>
      </c>
      <c r="U104" s="28" t="str">
        <f>HYPERLINK("https://media.infra-m.ru/1068/1068151/cover/1068151.jpg", "Обложка")</f>
        <v>Обложка</v>
      </c>
      <c r="V104" s="28" t="str">
        <f>HYPERLINK("https://znanium.com/catalog/product/1068151", "Ознакомиться")</f>
        <v>Ознакомиться</v>
      </c>
      <c r="W104" s="8" t="s">
        <v>784</v>
      </c>
      <c r="X104" s="6"/>
      <c r="Y104" s="6"/>
      <c r="Z104" s="6"/>
      <c r="AA104" s="6" t="s">
        <v>193</v>
      </c>
    </row>
    <row r="105" spans="1:27" s="4" customFormat="1" ht="51.95" customHeight="1">
      <c r="A105" s="5">
        <v>0</v>
      </c>
      <c r="B105" s="6" t="s">
        <v>785</v>
      </c>
      <c r="C105" s="13">
        <v>724.9</v>
      </c>
      <c r="D105" s="8" t="s">
        <v>786</v>
      </c>
      <c r="E105" s="8" t="s">
        <v>787</v>
      </c>
      <c r="F105" s="8" t="s">
        <v>538</v>
      </c>
      <c r="G105" s="6" t="s">
        <v>121</v>
      </c>
      <c r="H105" s="6" t="s">
        <v>207</v>
      </c>
      <c r="I105" s="8" t="s">
        <v>62</v>
      </c>
      <c r="J105" s="9">
        <v>1</v>
      </c>
      <c r="K105" s="9">
        <v>160</v>
      </c>
      <c r="L105" s="9">
        <v>2023</v>
      </c>
      <c r="M105" s="8" t="s">
        <v>788</v>
      </c>
      <c r="N105" s="8" t="s">
        <v>41</v>
      </c>
      <c r="O105" s="8" t="s">
        <v>64</v>
      </c>
      <c r="P105" s="6" t="s">
        <v>65</v>
      </c>
      <c r="Q105" s="8" t="s">
        <v>66</v>
      </c>
      <c r="R105" s="10" t="s">
        <v>789</v>
      </c>
      <c r="S105" s="11" t="s">
        <v>790</v>
      </c>
      <c r="T105" s="6"/>
      <c r="U105" s="28" t="str">
        <f>HYPERLINK("https://media.infra-m.ru/2006/2006832/cover/2006832.jpg", "Обложка")</f>
        <v>Обложка</v>
      </c>
      <c r="V105" s="28" t="str">
        <f>HYPERLINK("https://znanium.com/catalog/product/2006831", "Ознакомиться")</f>
        <v>Ознакомиться</v>
      </c>
      <c r="W105" s="8" t="s">
        <v>542</v>
      </c>
      <c r="X105" s="6"/>
      <c r="Y105" s="6"/>
      <c r="Z105" s="6"/>
      <c r="AA105" s="6" t="s">
        <v>135</v>
      </c>
    </row>
    <row r="106" spans="1:27" s="4" customFormat="1" ht="51.95" customHeight="1">
      <c r="A106" s="5">
        <v>0</v>
      </c>
      <c r="B106" s="6" t="s">
        <v>791</v>
      </c>
      <c r="C106" s="7">
        <v>2650</v>
      </c>
      <c r="D106" s="8" t="s">
        <v>792</v>
      </c>
      <c r="E106" s="8" t="s">
        <v>793</v>
      </c>
      <c r="F106" s="8" t="s">
        <v>794</v>
      </c>
      <c r="G106" s="6" t="s">
        <v>121</v>
      </c>
      <c r="H106" s="6" t="s">
        <v>38</v>
      </c>
      <c r="I106" s="8" t="s">
        <v>795</v>
      </c>
      <c r="J106" s="9">
        <v>1</v>
      </c>
      <c r="K106" s="9">
        <v>576</v>
      </c>
      <c r="L106" s="9">
        <v>2024</v>
      </c>
      <c r="M106" s="8" t="s">
        <v>796</v>
      </c>
      <c r="N106" s="8" t="s">
        <v>41</v>
      </c>
      <c r="O106" s="8" t="s">
        <v>64</v>
      </c>
      <c r="P106" s="6" t="s">
        <v>65</v>
      </c>
      <c r="Q106" s="8" t="s">
        <v>797</v>
      </c>
      <c r="R106" s="10" t="s">
        <v>798</v>
      </c>
      <c r="S106" s="11" t="s">
        <v>799</v>
      </c>
      <c r="T106" s="6"/>
      <c r="U106" s="28" t="str">
        <f>HYPERLINK("https://media.infra-m.ru/2087/2087717/cover/2087717.jpg", "Обложка")</f>
        <v>Обложка</v>
      </c>
      <c r="V106" s="28" t="str">
        <f>HYPERLINK("https://znanium.com/catalog/product/2087717", "Ознакомиться")</f>
        <v>Ознакомиться</v>
      </c>
      <c r="W106" s="8" t="s">
        <v>582</v>
      </c>
      <c r="X106" s="6"/>
      <c r="Y106" s="6" t="s">
        <v>30</v>
      </c>
      <c r="Z106" s="6"/>
      <c r="AA106" s="6" t="s">
        <v>144</v>
      </c>
    </row>
    <row r="107" spans="1:27" s="4" customFormat="1" ht="42" customHeight="1">
      <c r="A107" s="5">
        <v>0</v>
      </c>
      <c r="B107" s="6" t="s">
        <v>800</v>
      </c>
      <c r="C107" s="7">
        <v>1990</v>
      </c>
      <c r="D107" s="8" t="s">
        <v>801</v>
      </c>
      <c r="E107" s="8" t="s">
        <v>802</v>
      </c>
      <c r="F107" s="8" t="s">
        <v>803</v>
      </c>
      <c r="G107" s="6" t="s">
        <v>37</v>
      </c>
      <c r="H107" s="6" t="s">
        <v>38</v>
      </c>
      <c r="I107" s="8" t="s">
        <v>39</v>
      </c>
      <c r="J107" s="9">
        <v>1</v>
      </c>
      <c r="K107" s="9">
        <v>486</v>
      </c>
      <c r="L107" s="9">
        <v>2023</v>
      </c>
      <c r="M107" s="8" t="s">
        <v>804</v>
      </c>
      <c r="N107" s="8" t="s">
        <v>41</v>
      </c>
      <c r="O107" s="8" t="s">
        <v>64</v>
      </c>
      <c r="P107" s="6" t="s">
        <v>43</v>
      </c>
      <c r="Q107" s="8" t="s">
        <v>44</v>
      </c>
      <c r="R107" s="10" t="s">
        <v>805</v>
      </c>
      <c r="S107" s="11"/>
      <c r="T107" s="6"/>
      <c r="U107" s="28" t="str">
        <f>HYPERLINK("https://media.infra-m.ru/2020/2020585/cover/2020585.jpg", "Обложка")</f>
        <v>Обложка</v>
      </c>
      <c r="V107" s="28" t="str">
        <f>HYPERLINK("https://znanium.com/catalog/product/2020585", "Ознакомиться")</f>
        <v>Ознакомиться</v>
      </c>
      <c r="W107" s="8" t="s">
        <v>806</v>
      </c>
      <c r="X107" s="6"/>
      <c r="Y107" s="6"/>
      <c r="Z107" s="6"/>
      <c r="AA107" s="6" t="s">
        <v>100</v>
      </c>
    </row>
    <row r="108" spans="1:27" s="4" customFormat="1" ht="51.95" customHeight="1">
      <c r="A108" s="5">
        <v>0</v>
      </c>
      <c r="B108" s="6" t="s">
        <v>807</v>
      </c>
      <c r="C108" s="7">
        <v>1000</v>
      </c>
      <c r="D108" s="8" t="s">
        <v>808</v>
      </c>
      <c r="E108" s="8" t="s">
        <v>809</v>
      </c>
      <c r="F108" s="8" t="s">
        <v>810</v>
      </c>
      <c r="G108" s="6" t="s">
        <v>37</v>
      </c>
      <c r="H108" s="6" t="s">
        <v>38</v>
      </c>
      <c r="I108" s="8" t="s">
        <v>83</v>
      </c>
      <c r="J108" s="9">
        <v>1</v>
      </c>
      <c r="K108" s="9">
        <v>222</v>
      </c>
      <c r="L108" s="9">
        <v>2023</v>
      </c>
      <c r="M108" s="8" t="s">
        <v>811</v>
      </c>
      <c r="N108" s="8" t="s">
        <v>41</v>
      </c>
      <c r="O108" s="8" t="s">
        <v>64</v>
      </c>
      <c r="P108" s="6" t="s">
        <v>85</v>
      </c>
      <c r="Q108" s="8" t="s">
        <v>86</v>
      </c>
      <c r="R108" s="10" t="s">
        <v>812</v>
      </c>
      <c r="S108" s="11" t="s">
        <v>813</v>
      </c>
      <c r="T108" s="6" t="s">
        <v>89</v>
      </c>
      <c r="U108" s="28" t="str">
        <f>HYPERLINK("https://media.infra-m.ru/1920/1920315/cover/1920315.jpg", "Обложка")</f>
        <v>Обложка</v>
      </c>
      <c r="V108" s="28" t="str">
        <f>HYPERLINK("https://znanium.com/catalog/product/1920315", "Ознакомиться")</f>
        <v>Ознакомиться</v>
      </c>
      <c r="W108" s="8" t="s">
        <v>814</v>
      </c>
      <c r="X108" s="6"/>
      <c r="Y108" s="6"/>
      <c r="Z108" s="6"/>
      <c r="AA108" s="6" t="s">
        <v>320</v>
      </c>
    </row>
    <row r="109" spans="1:27" s="4" customFormat="1" ht="51.95" customHeight="1">
      <c r="A109" s="5">
        <v>0</v>
      </c>
      <c r="B109" s="6" t="s">
        <v>815</v>
      </c>
      <c r="C109" s="7">
        <v>1382</v>
      </c>
      <c r="D109" s="8" t="s">
        <v>816</v>
      </c>
      <c r="E109" s="8" t="s">
        <v>817</v>
      </c>
      <c r="F109" s="8" t="s">
        <v>818</v>
      </c>
      <c r="G109" s="6" t="s">
        <v>37</v>
      </c>
      <c r="H109" s="6" t="s">
        <v>38</v>
      </c>
      <c r="I109" s="8" t="s">
        <v>130</v>
      </c>
      <c r="J109" s="9">
        <v>1</v>
      </c>
      <c r="K109" s="9">
        <v>230</v>
      </c>
      <c r="L109" s="9">
        <v>2024</v>
      </c>
      <c r="M109" s="8" t="s">
        <v>819</v>
      </c>
      <c r="N109" s="8" t="s">
        <v>41</v>
      </c>
      <c r="O109" s="8" t="s">
        <v>64</v>
      </c>
      <c r="P109" s="6" t="s">
        <v>85</v>
      </c>
      <c r="Q109" s="8" t="s">
        <v>132</v>
      </c>
      <c r="R109" s="10" t="s">
        <v>820</v>
      </c>
      <c r="S109" s="11" t="s">
        <v>821</v>
      </c>
      <c r="T109" s="6"/>
      <c r="U109" s="28" t="str">
        <f>HYPERLINK("https://media.infra-m.ru/2054/2054119/cover/2054119.jpg", "Обложка")</f>
        <v>Обложка</v>
      </c>
      <c r="V109" s="28" t="str">
        <f>HYPERLINK("https://znanium.com/catalog/product/2054119", "Ознакомиться")</f>
        <v>Ознакомиться</v>
      </c>
      <c r="W109" s="8" t="s">
        <v>582</v>
      </c>
      <c r="X109" s="6"/>
      <c r="Y109" s="6" t="s">
        <v>30</v>
      </c>
      <c r="Z109" s="6"/>
      <c r="AA109" s="6" t="s">
        <v>464</v>
      </c>
    </row>
    <row r="110" spans="1:27" s="4" customFormat="1" ht="42" customHeight="1">
      <c r="A110" s="5">
        <v>0</v>
      </c>
      <c r="B110" s="6" t="s">
        <v>822</v>
      </c>
      <c r="C110" s="13">
        <v>934.9</v>
      </c>
      <c r="D110" s="8" t="s">
        <v>823</v>
      </c>
      <c r="E110" s="8" t="s">
        <v>824</v>
      </c>
      <c r="F110" s="8" t="s">
        <v>825</v>
      </c>
      <c r="G110" s="6" t="s">
        <v>121</v>
      </c>
      <c r="H110" s="6" t="s">
        <v>38</v>
      </c>
      <c r="I110" s="8" t="s">
        <v>62</v>
      </c>
      <c r="J110" s="9">
        <v>1</v>
      </c>
      <c r="K110" s="9">
        <v>207</v>
      </c>
      <c r="L110" s="9">
        <v>2023</v>
      </c>
      <c r="M110" s="8" t="s">
        <v>826</v>
      </c>
      <c r="N110" s="8" t="s">
        <v>41</v>
      </c>
      <c r="O110" s="8" t="s">
        <v>64</v>
      </c>
      <c r="P110" s="6" t="s">
        <v>65</v>
      </c>
      <c r="Q110" s="8" t="s">
        <v>66</v>
      </c>
      <c r="R110" s="10" t="s">
        <v>827</v>
      </c>
      <c r="S110" s="11"/>
      <c r="T110" s="6" t="s">
        <v>89</v>
      </c>
      <c r="U110" s="28" t="str">
        <f>HYPERLINK("https://media.infra-m.ru/1910/1910511/cover/1910511.jpg", "Обложка")</f>
        <v>Обложка</v>
      </c>
      <c r="V110" s="28" t="str">
        <f>HYPERLINK("https://znanium.com/catalog/product/1940920", "Ознакомиться")</f>
        <v>Ознакомиться</v>
      </c>
      <c r="W110" s="8" t="s">
        <v>90</v>
      </c>
      <c r="X110" s="6"/>
      <c r="Y110" s="6"/>
      <c r="Z110" s="6"/>
      <c r="AA110" s="6" t="s">
        <v>57</v>
      </c>
    </row>
    <row r="111" spans="1:27" s="4" customFormat="1" ht="42" customHeight="1">
      <c r="A111" s="5">
        <v>0</v>
      </c>
      <c r="B111" s="6" t="s">
        <v>828</v>
      </c>
      <c r="C111" s="13">
        <v>980</v>
      </c>
      <c r="D111" s="8" t="s">
        <v>829</v>
      </c>
      <c r="E111" s="8" t="s">
        <v>830</v>
      </c>
      <c r="F111" s="8" t="s">
        <v>831</v>
      </c>
      <c r="G111" s="6" t="s">
        <v>37</v>
      </c>
      <c r="H111" s="6" t="s">
        <v>38</v>
      </c>
      <c r="I111" s="8" t="s">
        <v>39</v>
      </c>
      <c r="J111" s="9">
        <v>1</v>
      </c>
      <c r="K111" s="9">
        <v>217</v>
      </c>
      <c r="L111" s="9">
        <v>2023</v>
      </c>
      <c r="M111" s="8" t="s">
        <v>832</v>
      </c>
      <c r="N111" s="8" t="s">
        <v>41</v>
      </c>
      <c r="O111" s="8" t="s">
        <v>54</v>
      </c>
      <c r="P111" s="6" t="s">
        <v>43</v>
      </c>
      <c r="Q111" s="8" t="s">
        <v>44</v>
      </c>
      <c r="R111" s="10" t="s">
        <v>833</v>
      </c>
      <c r="S111" s="11"/>
      <c r="T111" s="6"/>
      <c r="U111" s="28" t="str">
        <f>HYPERLINK("https://media.infra-m.ru/1913/1913979/cover/1913979.jpg", "Обложка")</f>
        <v>Обложка</v>
      </c>
      <c r="V111" s="28" t="str">
        <f>HYPERLINK("https://znanium.com/catalog/product/1913979", "Ознакомиться")</f>
        <v>Ознакомиться</v>
      </c>
      <c r="W111" s="8" t="s">
        <v>834</v>
      </c>
      <c r="X111" s="6"/>
      <c r="Y111" s="6"/>
      <c r="Z111" s="6"/>
      <c r="AA111" s="6" t="s">
        <v>78</v>
      </c>
    </row>
    <row r="112" spans="1:27" s="4" customFormat="1" ht="51.95" customHeight="1">
      <c r="A112" s="5">
        <v>0</v>
      </c>
      <c r="B112" s="6" t="s">
        <v>835</v>
      </c>
      <c r="C112" s="7">
        <v>2134</v>
      </c>
      <c r="D112" s="8" t="s">
        <v>836</v>
      </c>
      <c r="E112" s="8" t="s">
        <v>837</v>
      </c>
      <c r="F112" s="8" t="s">
        <v>838</v>
      </c>
      <c r="G112" s="6" t="s">
        <v>121</v>
      </c>
      <c r="H112" s="6" t="s">
        <v>207</v>
      </c>
      <c r="I112" s="8" t="s">
        <v>298</v>
      </c>
      <c r="J112" s="9">
        <v>1</v>
      </c>
      <c r="K112" s="9">
        <v>464</v>
      </c>
      <c r="L112" s="9">
        <v>2024</v>
      </c>
      <c r="M112" s="8" t="s">
        <v>839</v>
      </c>
      <c r="N112" s="8" t="s">
        <v>41</v>
      </c>
      <c r="O112" s="8" t="s">
        <v>54</v>
      </c>
      <c r="P112" s="6" t="s">
        <v>65</v>
      </c>
      <c r="Q112" s="8" t="s">
        <v>189</v>
      </c>
      <c r="R112" s="10" t="s">
        <v>840</v>
      </c>
      <c r="S112" s="11" t="s">
        <v>841</v>
      </c>
      <c r="T112" s="6"/>
      <c r="U112" s="28" t="str">
        <f>HYPERLINK("https://media.infra-m.ru/2056/2056630/cover/2056630.jpg", "Обложка")</f>
        <v>Обложка</v>
      </c>
      <c r="V112" s="28" t="str">
        <f>HYPERLINK("https://znanium.com/catalog/product/1082973", "Ознакомиться")</f>
        <v>Ознакомиться</v>
      </c>
      <c r="W112" s="8" t="s">
        <v>666</v>
      </c>
      <c r="X112" s="6"/>
      <c r="Y112" s="6" t="s">
        <v>30</v>
      </c>
      <c r="Z112" s="6"/>
      <c r="AA112" s="6" t="s">
        <v>842</v>
      </c>
    </row>
    <row r="113" spans="1:27" s="4" customFormat="1" ht="42" customHeight="1">
      <c r="A113" s="5">
        <v>0</v>
      </c>
      <c r="B113" s="6" t="s">
        <v>843</v>
      </c>
      <c r="C113" s="13">
        <v>860</v>
      </c>
      <c r="D113" s="8" t="s">
        <v>844</v>
      </c>
      <c r="E113" s="8" t="s">
        <v>845</v>
      </c>
      <c r="F113" s="8" t="s">
        <v>846</v>
      </c>
      <c r="G113" s="6" t="s">
        <v>52</v>
      </c>
      <c r="H113" s="6" t="s">
        <v>38</v>
      </c>
      <c r="I113" s="8" t="s">
        <v>39</v>
      </c>
      <c r="J113" s="9">
        <v>1</v>
      </c>
      <c r="K113" s="9">
        <v>243</v>
      </c>
      <c r="L113" s="9">
        <v>2020</v>
      </c>
      <c r="M113" s="8" t="s">
        <v>847</v>
      </c>
      <c r="N113" s="8" t="s">
        <v>41</v>
      </c>
      <c r="O113" s="8" t="s">
        <v>64</v>
      </c>
      <c r="P113" s="6" t="s">
        <v>43</v>
      </c>
      <c r="Q113" s="8" t="s">
        <v>44</v>
      </c>
      <c r="R113" s="10" t="s">
        <v>848</v>
      </c>
      <c r="S113" s="11"/>
      <c r="T113" s="6"/>
      <c r="U113" s="28" t="str">
        <f>HYPERLINK("https://media.infra-m.ru/1046/1046034/cover/1046034.jpg", "Обложка")</f>
        <v>Обложка</v>
      </c>
      <c r="V113" s="28" t="str">
        <f>HYPERLINK("https://znanium.com/catalog/product/1046034", "Ознакомиться")</f>
        <v>Ознакомиться</v>
      </c>
      <c r="W113" s="8" t="s">
        <v>849</v>
      </c>
      <c r="X113" s="6"/>
      <c r="Y113" s="6"/>
      <c r="Z113" s="6"/>
      <c r="AA113" s="6" t="s">
        <v>320</v>
      </c>
    </row>
    <row r="114" spans="1:27" s="4" customFormat="1" ht="44.1" customHeight="1">
      <c r="A114" s="5">
        <v>0</v>
      </c>
      <c r="B114" s="6" t="s">
        <v>850</v>
      </c>
      <c r="C114" s="13">
        <v>830</v>
      </c>
      <c r="D114" s="8" t="s">
        <v>851</v>
      </c>
      <c r="E114" s="8" t="s">
        <v>852</v>
      </c>
      <c r="F114" s="8" t="s">
        <v>853</v>
      </c>
      <c r="G114" s="6" t="s">
        <v>52</v>
      </c>
      <c r="H114" s="6" t="s">
        <v>38</v>
      </c>
      <c r="I114" s="8" t="s">
        <v>39</v>
      </c>
      <c r="J114" s="9">
        <v>1</v>
      </c>
      <c r="K114" s="9">
        <v>185</v>
      </c>
      <c r="L114" s="9">
        <v>2022</v>
      </c>
      <c r="M114" s="8" t="s">
        <v>854</v>
      </c>
      <c r="N114" s="8" t="s">
        <v>41</v>
      </c>
      <c r="O114" s="8" t="s">
        <v>64</v>
      </c>
      <c r="P114" s="6" t="s">
        <v>43</v>
      </c>
      <c r="Q114" s="8" t="s">
        <v>44</v>
      </c>
      <c r="R114" s="10" t="s">
        <v>855</v>
      </c>
      <c r="S114" s="11"/>
      <c r="T114" s="6"/>
      <c r="U114" s="28" t="str">
        <f>HYPERLINK("https://media.infra-m.ru/1889/1889060/cover/1889060.jpg", "Обложка")</f>
        <v>Обложка</v>
      </c>
      <c r="V114" s="28" t="str">
        <f>HYPERLINK("https://znanium.com/catalog/product/1889060", "Ознакомиться")</f>
        <v>Ознакомиться</v>
      </c>
      <c r="W114" s="8"/>
      <c r="X114" s="6"/>
      <c r="Y114" s="6"/>
      <c r="Z114" s="6"/>
      <c r="AA114" s="6" t="s">
        <v>135</v>
      </c>
    </row>
    <row r="115" spans="1:27" s="4" customFormat="1" ht="51.95" customHeight="1">
      <c r="A115" s="5">
        <v>0</v>
      </c>
      <c r="B115" s="6" t="s">
        <v>856</v>
      </c>
      <c r="C115" s="13">
        <v>990</v>
      </c>
      <c r="D115" s="8" t="s">
        <v>857</v>
      </c>
      <c r="E115" s="8" t="s">
        <v>858</v>
      </c>
      <c r="F115" s="8" t="s">
        <v>859</v>
      </c>
      <c r="G115" s="6" t="s">
        <v>37</v>
      </c>
      <c r="H115" s="6" t="s">
        <v>38</v>
      </c>
      <c r="I115" s="8" t="s">
        <v>62</v>
      </c>
      <c r="J115" s="9">
        <v>1</v>
      </c>
      <c r="K115" s="9">
        <v>270</v>
      </c>
      <c r="L115" s="9">
        <v>2021</v>
      </c>
      <c r="M115" s="8" t="s">
        <v>860</v>
      </c>
      <c r="N115" s="8" t="s">
        <v>41</v>
      </c>
      <c r="O115" s="8" t="s">
        <v>64</v>
      </c>
      <c r="P115" s="6" t="s">
        <v>65</v>
      </c>
      <c r="Q115" s="8" t="s">
        <v>66</v>
      </c>
      <c r="R115" s="10" t="s">
        <v>861</v>
      </c>
      <c r="S115" s="11" t="s">
        <v>862</v>
      </c>
      <c r="T115" s="6" t="s">
        <v>89</v>
      </c>
      <c r="U115" s="28" t="str">
        <f>HYPERLINK("https://media.infra-m.ru/1194/1194144/cover/1194144.jpg", "Обложка")</f>
        <v>Обложка</v>
      </c>
      <c r="V115" s="28" t="str">
        <f>HYPERLINK("https://znanium.com/catalog/product/1969527", "Ознакомиться")</f>
        <v>Ознакомиться</v>
      </c>
      <c r="W115" s="8" t="s">
        <v>582</v>
      </c>
      <c r="X115" s="6"/>
      <c r="Y115" s="6"/>
      <c r="Z115" s="6"/>
      <c r="AA115" s="6" t="s">
        <v>161</v>
      </c>
    </row>
    <row r="116" spans="1:27" s="4" customFormat="1" ht="51.95" customHeight="1">
      <c r="A116" s="5">
        <v>0</v>
      </c>
      <c r="B116" s="6" t="s">
        <v>863</v>
      </c>
      <c r="C116" s="7">
        <v>1314</v>
      </c>
      <c r="D116" s="8" t="s">
        <v>864</v>
      </c>
      <c r="E116" s="8" t="s">
        <v>865</v>
      </c>
      <c r="F116" s="8" t="s">
        <v>859</v>
      </c>
      <c r="G116" s="6" t="s">
        <v>37</v>
      </c>
      <c r="H116" s="6" t="s">
        <v>38</v>
      </c>
      <c r="I116" s="8" t="s">
        <v>130</v>
      </c>
      <c r="J116" s="9">
        <v>1</v>
      </c>
      <c r="K116" s="9">
        <v>270</v>
      </c>
      <c r="L116" s="9">
        <v>2023</v>
      </c>
      <c r="M116" s="8" t="s">
        <v>860</v>
      </c>
      <c r="N116" s="8" t="s">
        <v>41</v>
      </c>
      <c r="O116" s="8" t="s">
        <v>64</v>
      </c>
      <c r="P116" s="6" t="s">
        <v>65</v>
      </c>
      <c r="Q116" s="8" t="s">
        <v>66</v>
      </c>
      <c r="R116" s="10" t="s">
        <v>861</v>
      </c>
      <c r="S116" s="11" t="s">
        <v>862</v>
      </c>
      <c r="T116" s="6" t="s">
        <v>89</v>
      </c>
      <c r="U116" s="28" t="str">
        <f>HYPERLINK("https://media.infra-m.ru/1973/1973522/cover/1973522.jpg", "Обложка")</f>
        <v>Обложка</v>
      </c>
      <c r="V116" s="28" t="str">
        <f>HYPERLINK("https://znanium.com/catalog/product/1969527", "Ознакомиться")</f>
        <v>Ознакомиться</v>
      </c>
      <c r="W116" s="8" t="s">
        <v>582</v>
      </c>
      <c r="X116" s="6"/>
      <c r="Y116" s="6"/>
      <c r="Z116" s="6"/>
      <c r="AA116" s="6" t="s">
        <v>382</v>
      </c>
    </row>
    <row r="117" spans="1:27" s="4" customFormat="1" ht="51.95" customHeight="1">
      <c r="A117" s="5">
        <v>0</v>
      </c>
      <c r="B117" s="6" t="s">
        <v>866</v>
      </c>
      <c r="C117" s="7">
        <v>1910</v>
      </c>
      <c r="D117" s="8" t="s">
        <v>867</v>
      </c>
      <c r="E117" s="8" t="s">
        <v>868</v>
      </c>
      <c r="F117" s="8" t="s">
        <v>869</v>
      </c>
      <c r="G117" s="6" t="s">
        <v>121</v>
      </c>
      <c r="H117" s="6" t="s">
        <v>38</v>
      </c>
      <c r="I117" s="8" t="s">
        <v>130</v>
      </c>
      <c r="J117" s="9">
        <v>1</v>
      </c>
      <c r="K117" s="9">
        <v>411</v>
      </c>
      <c r="L117" s="9">
        <v>2024</v>
      </c>
      <c r="M117" s="8" t="s">
        <v>870</v>
      </c>
      <c r="N117" s="8" t="s">
        <v>41</v>
      </c>
      <c r="O117" s="8" t="s">
        <v>64</v>
      </c>
      <c r="P117" s="6" t="s">
        <v>65</v>
      </c>
      <c r="Q117" s="8" t="s">
        <v>66</v>
      </c>
      <c r="R117" s="10" t="s">
        <v>76</v>
      </c>
      <c r="S117" s="11" t="s">
        <v>871</v>
      </c>
      <c r="T117" s="6"/>
      <c r="U117" s="28" t="str">
        <f>HYPERLINK("https://media.infra-m.ru/1969/1969528/cover/1969528.jpg", "Обложка")</f>
        <v>Обложка</v>
      </c>
      <c r="V117" s="28" t="str">
        <f>HYPERLINK("https://znanium.com/catalog/product/1969528", "Ознакомиться")</f>
        <v>Ознакомиться</v>
      </c>
      <c r="W117" s="8" t="s">
        <v>582</v>
      </c>
      <c r="X117" s="6"/>
      <c r="Y117" s="6"/>
      <c r="Z117" s="6"/>
      <c r="AA117" s="6" t="s">
        <v>872</v>
      </c>
    </row>
    <row r="118" spans="1:27" s="4" customFormat="1" ht="42" customHeight="1">
      <c r="A118" s="5">
        <v>0</v>
      </c>
      <c r="B118" s="6" t="s">
        <v>873</v>
      </c>
      <c r="C118" s="7">
        <v>1500</v>
      </c>
      <c r="D118" s="8" t="s">
        <v>874</v>
      </c>
      <c r="E118" s="8" t="s">
        <v>875</v>
      </c>
      <c r="F118" s="8" t="s">
        <v>876</v>
      </c>
      <c r="G118" s="6" t="s">
        <v>121</v>
      </c>
      <c r="H118" s="6" t="s">
        <v>38</v>
      </c>
      <c r="I118" s="8" t="s">
        <v>130</v>
      </c>
      <c r="J118" s="9">
        <v>1</v>
      </c>
      <c r="K118" s="9">
        <v>319</v>
      </c>
      <c r="L118" s="9">
        <v>2023</v>
      </c>
      <c r="M118" s="8" t="s">
        <v>877</v>
      </c>
      <c r="N118" s="8" t="s">
        <v>41</v>
      </c>
      <c r="O118" s="8" t="s">
        <v>54</v>
      </c>
      <c r="P118" s="6" t="s">
        <v>85</v>
      </c>
      <c r="Q118" s="8" t="s">
        <v>66</v>
      </c>
      <c r="R118" s="10" t="s">
        <v>878</v>
      </c>
      <c r="S118" s="11"/>
      <c r="T118" s="6"/>
      <c r="U118" s="28" t="str">
        <f>HYPERLINK("https://media.infra-m.ru/0958/0958917/cover/958917.jpg", "Обложка")</f>
        <v>Обложка</v>
      </c>
      <c r="V118" s="28" t="str">
        <f>HYPERLINK("https://znanium.com/catalog/product/958917", "Ознакомиться")</f>
        <v>Ознакомиться</v>
      </c>
      <c r="W118" s="8" t="s">
        <v>339</v>
      </c>
      <c r="X118" s="6" t="s">
        <v>879</v>
      </c>
      <c r="Y118" s="6"/>
      <c r="Z118" s="6"/>
      <c r="AA118" s="6" t="s">
        <v>574</v>
      </c>
    </row>
    <row r="119" spans="1:27" s="4" customFormat="1" ht="51.95" customHeight="1">
      <c r="A119" s="5">
        <v>0</v>
      </c>
      <c r="B119" s="6" t="s">
        <v>880</v>
      </c>
      <c r="C119" s="7">
        <v>1214.9000000000001</v>
      </c>
      <c r="D119" s="8" t="s">
        <v>881</v>
      </c>
      <c r="E119" s="8" t="s">
        <v>882</v>
      </c>
      <c r="F119" s="8" t="s">
        <v>883</v>
      </c>
      <c r="G119" s="6" t="s">
        <v>37</v>
      </c>
      <c r="H119" s="6" t="s">
        <v>38</v>
      </c>
      <c r="I119" s="8" t="s">
        <v>187</v>
      </c>
      <c r="J119" s="9">
        <v>1</v>
      </c>
      <c r="K119" s="9">
        <v>270</v>
      </c>
      <c r="L119" s="9">
        <v>2023</v>
      </c>
      <c r="M119" s="8" t="s">
        <v>884</v>
      </c>
      <c r="N119" s="8" t="s">
        <v>41</v>
      </c>
      <c r="O119" s="8" t="s">
        <v>54</v>
      </c>
      <c r="P119" s="6" t="s">
        <v>85</v>
      </c>
      <c r="Q119" s="8" t="s">
        <v>189</v>
      </c>
      <c r="R119" s="10" t="s">
        <v>885</v>
      </c>
      <c r="S119" s="11" t="s">
        <v>886</v>
      </c>
      <c r="T119" s="6"/>
      <c r="U119" s="28" t="str">
        <f>HYPERLINK("https://media.infra-m.ru/2023/2023116/cover/2023116.jpg", "Обложка")</f>
        <v>Обложка</v>
      </c>
      <c r="V119" s="28" t="str">
        <f>HYPERLINK("https://znanium.com/catalog/product/1838352", "Ознакомиться")</f>
        <v>Ознакомиться</v>
      </c>
      <c r="W119" s="8" t="s">
        <v>339</v>
      </c>
      <c r="X119" s="6"/>
      <c r="Y119" s="6"/>
      <c r="Z119" s="6" t="s">
        <v>887</v>
      </c>
      <c r="AA119" s="6" t="s">
        <v>888</v>
      </c>
    </row>
    <row r="120" spans="1:27" s="4" customFormat="1" ht="51.95" customHeight="1">
      <c r="A120" s="5">
        <v>0</v>
      </c>
      <c r="B120" s="6" t="s">
        <v>889</v>
      </c>
      <c r="C120" s="7">
        <v>1290</v>
      </c>
      <c r="D120" s="8" t="s">
        <v>890</v>
      </c>
      <c r="E120" s="8" t="s">
        <v>891</v>
      </c>
      <c r="F120" s="8" t="s">
        <v>883</v>
      </c>
      <c r="G120" s="6" t="s">
        <v>37</v>
      </c>
      <c r="H120" s="6" t="s">
        <v>38</v>
      </c>
      <c r="I120" s="8" t="s">
        <v>130</v>
      </c>
      <c r="J120" s="9">
        <v>1</v>
      </c>
      <c r="K120" s="9">
        <v>272</v>
      </c>
      <c r="L120" s="9">
        <v>2024</v>
      </c>
      <c r="M120" s="8" t="s">
        <v>892</v>
      </c>
      <c r="N120" s="8" t="s">
        <v>41</v>
      </c>
      <c r="O120" s="8" t="s">
        <v>54</v>
      </c>
      <c r="P120" s="6" t="s">
        <v>85</v>
      </c>
      <c r="Q120" s="8" t="s">
        <v>132</v>
      </c>
      <c r="R120" s="10" t="s">
        <v>893</v>
      </c>
      <c r="S120" s="11" t="s">
        <v>894</v>
      </c>
      <c r="T120" s="6"/>
      <c r="U120" s="28" t="str">
        <f>HYPERLINK("https://media.infra-m.ru/2113/2113849/cover/2113849.jpg", "Обложка")</f>
        <v>Обложка</v>
      </c>
      <c r="V120" s="28" t="str">
        <f>HYPERLINK("https://znanium.com/catalog/product/2113849", "Ознакомиться")</f>
        <v>Ознакомиться</v>
      </c>
      <c r="W120" s="8" t="s">
        <v>339</v>
      </c>
      <c r="X120" s="6"/>
      <c r="Y120" s="6"/>
      <c r="Z120" s="6"/>
      <c r="AA120" s="6" t="s">
        <v>895</v>
      </c>
    </row>
    <row r="121" spans="1:27" s="4" customFormat="1" ht="42" customHeight="1">
      <c r="A121" s="5">
        <v>0</v>
      </c>
      <c r="B121" s="6" t="s">
        <v>896</v>
      </c>
      <c r="C121" s="7">
        <v>1664</v>
      </c>
      <c r="D121" s="8" t="s">
        <v>897</v>
      </c>
      <c r="E121" s="8" t="s">
        <v>898</v>
      </c>
      <c r="F121" s="8" t="s">
        <v>899</v>
      </c>
      <c r="G121" s="6" t="s">
        <v>121</v>
      </c>
      <c r="H121" s="6" t="s">
        <v>38</v>
      </c>
      <c r="I121" s="8" t="s">
        <v>62</v>
      </c>
      <c r="J121" s="9">
        <v>1</v>
      </c>
      <c r="K121" s="9">
        <v>368</v>
      </c>
      <c r="L121" s="9">
        <v>2023</v>
      </c>
      <c r="M121" s="8" t="s">
        <v>900</v>
      </c>
      <c r="N121" s="8" t="s">
        <v>41</v>
      </c>
      <c r="O121" s="8" t="s">
        <v>64</v>
      </c>
      <c r="P121" s="6" t="s">
        <v>65</v>
      </c>
      <c r="Q121" s="8" t="s">
        <v>66</v>
      </c>
      <c r="R121" s="10" t="s">
        <v>901</v>
      </c>
      <c r="S121" s="11"/>
      <c r="T121" s="6"/>
      <c r="U121" s="28" t="str">
        <f>HYPERLINK("https://media.infra-m.ru/0560/0560425/cover/560425.jpg", "Обложка")</f>
        <v>Обложка</v>
      </c>
      <c r="V121" s="28" t="str">
        <f>HYPERLINK("https://znanium.com/catalog/product/483223", "Ознакомиться")</f>
        <v>Ознакомиться</v>
      </c>
      <c r="W121" s="8" t="s">
        <v>902</v>
      </c>
      <c r="X121" s="6"/>
      <c r="Y121" s="6"/>
      <c r="Z121" s="6"/>
      <c r="AA121" s="6" t="s">
        <v>57</v>
      </c>
    </row>
    <row r="122" spans="1:27" s="4" customFormat="1" ht="51.95" customHeight="1">
      <c r="A122" s="5">
        <v>0</v>
      </c>
      <c r="B122" s="6" t="s">
        <v>903</v>
      </c>
      <c r="C122" s="7">
        <v>1934</v>
      </c>
      <c r="D122" s="8" t="s">
        <v>904</v>
      </c>
      <c r="E122" s="8" t="s">
        <v>905</v>
      </c>
      <c r="F122" s="8" t="s">
        <v>906</v>
      </c>
      <c r="G122" s="6" t="s">
        <v>37</v>
      </c>
      <c r="H122" s="6" t="s">
        <v>38</v>
      </c>
      <c r="I122" s="8" t="s">
        <v>62</v>
      </c>
      <c r="J122" s="9">
        <v>1</v>
      </c>
      <c r="K122" s="9">
        <v>420</v>
      </c>
      <c r="L122" s="9">
        <v>2024</v>
      </c>
      <c r="M122" s="8" t="s">
        <v>907</v>
      </c>
      <c r="N122" s="8" t="s">
        <v>41</v>
      </c>
      <c r="O122" s="8" t="s">
        <v>54</v>
      </c>
      <c r="P122" s="6" t="s">
        <v>85</v>
      </c>
      <c r="Q122" s="8" t="s">
        <v>66</v>
      </c>
      <c r="R122" s="10" t="s">
        <v>908</v>
      </c>
      <c r="S122" s="11" t="s">
        <v>909</v>
      </c>
      <c r="T122" s="6" t="s">
        <v>89</v>
      </c>
      <c r="U122" s="28" t="str">
        <f>HYPERLINK("https://media.infra-m.ru/2087/2087272/cover/2087272.jpg", "Обложка")</f>
        <v>Обложка</v>
      </c>
      <c r="V122" s="28" t="str">
        <f>HYPERLINK("https://znanium.com/catalog/product/937454", "Ознакомиться")</f>
        <v>Ознакомиться</v>
      </c>
      <c r="W122" s="8" t="s">
        <v>90</v>
      </c>
      <c r="X122" s="6"/>
      <c r="Y122" s="6"/>
      <c r="Z122" s="6"/>
      <c r="AA122" s="6" t="s">
        <v>57</v>
      </c>
    </row>
    <row r="123" spans="1:27" s="4" customFormat="1" ht="42" customHeight="1">
      <c r="A123" s="5">
        <v>0</v>
      </c>
      <c r="B123" s="6" t="s">
        <v>910</v>
      </c>
      <c r="C123" s="13">
        <v>690</v>
      </c>
      <c r="D123" s="8" t="s">
        <v>911</v>
      </c>
      <c r="E123" s="8" t="s">
        <v>912</v>
      </c>
      <c r="F123" s="8" t="s">
        <v>913</v>
      </c>
      <c r="G123" s="6" t="s">
        <v>52</v>
      </c>
      <c r="H123" s="6" t="s">
        <v>38</v>
      </c>
      <c r="I123" s="8" t="s">
        <v>39</v>
      </c>
      <c r="J123" s="9">
        <v>1</v>
      </c>
      <c r="K123" s="9">
        <v>153</v>
      </c>
      <c r="L123" s="9">
        <v>2023</v>
      </c>
      <c r="M123" s="8" t="s">
        <v>914</v>
      </c>
      <c r="N123" s="8" t="s">
        <v>41</v>
      </c>
      <c r="O123" s="8" t="s">
        <v>64</v>
      </c>
      <c r="P123" s="6" t="s">
        <v>43</v>
      </c>
      <c r="Q123" s="8" t="s">
        <v>44</v>
      </c>
      <c r="R123" s="10" t="s">
        <v>915</v>
      </c>
      <c r="S123" s="11"/>
      <c r="T123" s="6"/>
      <c r="U123" s="28" t="str">
        <f>HYPERLINK("https://media.infra-m.ru/1922/1922278/cover/1922278.jpg", "Обложка")</f>
        <v>Обложка</v>
      </c>
      <c r="V123" s="28" t="str">
        <f>HYPERLINK("https://znanium.com/catalog/product/1922278", "Ознакомиться")</f>
        <v>Ознакомиться</v>
      </c>
      <c r="W123" s="8" t="s">
        <v>582</v>
      </c>
      <c r="X123" s="6"/>
      <c r="Y123" s="6"/>
      <c r="Z123" s="6"/>
      <c r="AA123" s="6" t="s">
        <v>47</v>
      </c>
    </row>
    <row r="124" spans="1:27" s="4" customFormat="1" ht="51.95" customHeight="1">
      <c r="A124" s="5">
        <v>0</v>
      </c>
      <c r="B124" s="6" t="s">
        <v>916</v>
      </c>
      <c r="C124" s="7">
        <v>1480</v>
      </c>
      <c r="D124" s="8" t="s">
        <v>917</v>
      </c>
      <c r="E124" s="8" t="s">
        <v>918</v>
      </c>
      <c r="F124" s="8" t="s">
        <v>919</v>
      </c>
      <c r="G124" s="6" t="s">
        <v>37</v>
      </c>
      <c r="H124" s="6" t="s">
        <v>38</v>
      </c>
      <c r="I124" s="8" t="s">
        <v>130</v>
      </c>
      <c r="J124" s="9">
        <v>1</v>
      </c>
      <c r="K124" s="9">
        <v>328</v>
      </c>
      <c r="L124" s="9">
        <v>2023</v>
      </c>
      <c r="M124" s="8" t="s">
        <v>920</v>
      </c>
      <c r="N124" s="8" t="s">
        <v>41</v>
      </c>
      <c r="O124" s="8" t="s">
        <v>64</v>
      </c>
      <c r="P124" s="6" t="s">
        <v>65</v>
      </c>
      <c r="Q124" s="8" t="s">
        <v>132</v>
      </c>
      <c r="R124" s="10" t="s">
        <v>921</v>
      </c>
      <c r="S124" s="11" t="s">
        <v>922</v>
      </c>
      <c r="T124" s="6"/>
      <c r="U124" s="28" t="str">
        <f>HYPERLINK("https://media.infra-m.ru/2019/2019764/cover/2019764.jpg", "Обложка")</f>
        <v>Обложка</v>
      </c>
      <c r="V124" s="28" t="str">
        <f>HYPERLINK("https://znanium.com/catalog/product/2019764", "Ознакомиться")</f>
        <v>Ознакомиться</v>
      </c>
      <c r="W124" s="8" t="s">
        <v>90</v>
      </c>
      <c r="X124" s="6"/>
      <c r="Y124" s="6" t="s">
        <v>30</v>
      </c>
      <c r="Z124" s="6"/>
      <c r="AA124" s="6" t="s">
        <v>91</v>
      </c>
    </row>
    <row r="125" spans="1:27" s="4" customFormat="1" ht="51.95" customHeight="1">
      <c r="A125" s="5">
        <v>0</v>
      </c>
      <c r="B125" s="6" t="s">
        <v>923</v>
      </c>
      <c r="C125" s="7">
        <v>1134</v>
      </c>
      <c r="D125" s="8" t="s">
        <v>924</v>
      </c>
      <c r="E125" s="8" t="s">
        <v>925</v>
      </c>
      <c r="F125" s="8" t="s">
        <v>926</v>
      </c>
      <c r="G125" s="6" t="s">
        <v>121</v>
      </c>
      <c r="H125" s="6" t="s">
        <v>38</v>
      </c>
      <c r="I125" s="8" t="s">
        <v>83</v>
      </c>
      <c r="J125" s="9">
        <v>1</v>
      </c>
      <c r="K125" s="9">
        <v>251</v>
      </c>
      <c r="L125" s="9">
        <v>2023</v>
      </c>
      <c r="M125" s="8" t="s">
        <v>927</v>
      </c>
      <c r="N125" s="8" t="s">
        <v>41</v>
      </c>
      <c r="O125" s="8" t="s">
        <v>64</v>
      </c>
      <c r="P125" s="6" t="s">
        <v>85</v>
      </c>
      <c r="Q125" s="8" t="s">
        <v>86</v>
      </c>
      <c r="R125" s="10" t="s">
        <v>928</v>
      </c>
      <c r="S125" s="11" t="s">
        <v>929</v>
      </c>
      <c r="T125" s="6" t="s">
        <v>89</v>
      </c>
      <c r="U125" s="28" t="str">
        <f>HYPERLINK("https://media.infra-m.ru/2021/2021455/cover/2021455.jpg", "Обложка")</f>
        <v>Обложка</v>
      </c>
      <c r="V125" s="28" t="str">
        <f>HYPERLINK("https://znanium.com/catalog/product/969661", "Ознакомиться")</f>
        <v>Ознакомиться</v>
      </c>
      <c r="W125" s="8" t="s">
        <v>814</v>
      </c>
      <c r="X125" s="6"/>
      <c r="Y125" s="6"/>
      <c r="Z125" s="6"/>
      <c r="AA125" s="6" t="s">
        <v>108</v>
      </c>
    </row>
    <row r="126" spans="1:27" s="4" customFormat="1" ht="42" customHeight="1">
      <c r="A126" s="5">
        <v>0</v>
      </c>
      <c r="B126" s="6" t="s">
        <v>930</v>
      </c>
      <c r="C126" s="7">
        <v>1120</v>
      </c>
      <c r="D126" s="8" t="s">
        <v>931</v>
      </c>
      <c r="E126" s="8" t="s">
        <v>932</v>
      </c>
      <c r="F126" s="8" t="s">
        <v>933</v>
      </c>
      <c r="G126" s="6" t="s">
        <v>37</v>
      </c>
      <c r="H126" s="6" t="s">
        <v>38</v>
      </c>
      <c r="I126" s="8" t="s">
        <v>130</v>
      </c>
      <c r="J126" s="9">
        <v>1</v>
      </c>
      <c r="K126" s="9">
        <v>249</v>
      </c>
      <c r="L126" s="9">
        <v>2023</v>
      </c>
      <c r="M126" s="8" t="s">
        <v>934</v>
      </c>
      <c r="N126" s="8" t="s">
        <v>41</v>
      </c>
      <c r="O126" s="8" t="s">
        <v>64</v>
      </c>
      <c r="P126" s="6" t="s">
        <v>85</v>
      </c>
      <c r="Q126" s="8" t="s">
        <v>66</v>
      </c>
      <c r="R126" s="10" t="s">
        <v>935</v>
      </c>
      <c r="S126" s="11"/>
      <c r="T126" s="6" t="s">
        <v>89</v>
      </c>
      <c r="U126" s="28" t="str">
        <f>HYPERLINK("https://media.infra-m.ru/1891/1891823/cover/1891823.jpg", "Обложка")</f>
        <v>Обложка</v>
      </c>
      <c r="V126" s="28" t="str">
        <f>HYPERLINK("https://znanium.com/catalog/product/1891823", "Ознакомиться")</f>
        <v>Ознакомиться</v>
      </c>
      <c r="W126" s="8" t="s">
        <v>814</v>
      </c>
      <c r="X126" s="6"/>
      <c r="Y126" s="6"/>
      <c r="Z126" s="6"/>
      <c r="AA126" s="6" t="s">
        <v>70</v>
      </c>
    </row>
    <row r="127" spans="1:27" s="4" customFormat="1" ht="51.95" customHeight="1">
      <c r="A127" s="5">
        <v>0</v>
      </c>
      <c r="B127" s="6" t="s">
        <v>936</v>
      </c>
      <c r="C127" s="7">
        <v>1050</v>
      </c>
      <c r="D127" s="8" t="s">
        <v>937</v>
      </c>
      <c r="E127" s="8" t="s">
        <v>938</v>
      </c>
      <c r="F127" s="8" t="s">
        <v>939</v>
      </c>
      <c r="G127" s="6" t="s">
        <v>37</v>
      </c>
      <c r="H127" s="6" t="s">
        <v>38</v>
      </c>
      <c r="I127" s="8" t="s">
        <v>187</v>
      </c>
      <c r="J127" s="9">
        <v>1</v>
      </c>
      <c r="K127" s="9">
        <v>233</v>
      </c>
      <c r="L127" s="9">
        <v>2023</v>
      </c>
      <c r="M127" s="8" t="s">
        <v>940</v>
      </c>
      <c r="N127" s="8" t="s">
        <v>41</v>
      </c>
      <c r="O127" s="8" t="s">
        <v>64</v>
      </c>
      <c r="P127" s="6" t="s">
        <v>85</v>
      </c>
      <c r="Q127" s="8" t="s">
        <v>189</v>
      </c>
      <c r="R127" s="10" t="s">
        <v>941</v>
      </c>
      <c r="S127" s="11" t="s">
        <v>942</v>
      </c>
      <c r="T127" s="6" t="s">
        <v>89</v>
      </c>
      <c r="U127" s="28" t="str">
        <f>HYPERLINK("https://media.infra-m.ru/1920/1920318/cover/1920318.jpg", "Обложка")</f>
        <v>Обложка</v>
      </c>
      <c r="V127" s="28" t="str">
        <f>HYPERLINK("https://znanium.com/catalog/product/1920318", "Ознакомиться")</f>
        <v>Ознакомиться</v>
      </c>
      <c r="W127" s="8" t="s">
        <v>814</v>
      </c>
      <c r="X127" s="6"/>
      <c r="Y127" s="6" t="s">
        <v>30</v>
      </c>
      <c r="Z127" s="6"/>
      <c r="AA127" s="6" t="s">
        <v>193</v>
      </c>
    </row>
    <row r="128" spans="1:27" s="4" customFormat="1" ht="51.95" customHeight="1">
      <c r="A128" s="5">
        <v>0</v>
      </c>
      <c r="B128" s="6" t="s">
        <v>943</v>
      </c>
      <c r="C128" s="7">
        <v>1290</v>
      </c>
      <c r="D128" s="8" t="s">
        <v>944</v>
      </c>
      <c r="E128" s="8" t="s">
        <v>945</v>
      </c>
      <c r="F128" s="8" t="s">
        <v>946</v>
      </c>
      <c r="G128" s="6" t="s">
        <v>37</v>
      </c>
      <c r="H128" s="6" t="s">
        <v>38</v>
      </c>
      <c r="I128" s="8" t="s">
        <v>83</v>
      </c>
      <c r="J128" s="9">
        <v>1</v>
      </c>
      <c r="K128" s="9">
        <v>288</v>
      </c>
      <c r="L128" s="9">
        <v>2022</v>
      </c>
      <c r="M128" s="8" t="s">
        <v>947</v>
      </c>
      <c r="N128" s="8" t="s">
        <v>41</v>
      </c>
      <c r="O128" s="8" t="s">
        <v>64</v>
      </c>
      <c r="P128" s="6" t="s">
        <v>65</v>
      </c>
      <c r="Q128" s="8" t="s">
        <v>86</v>
      </c>
      <c r="R128" s="10" t="s">
        <v>915</v>
      </c>
      <c r="S128" s="11" t="s">
        <v>948</v>
      </c>
      <c r="T128" s="6" t="s">
        <v>89</v>
      </c>
      <c r="U128" s="28" t="str">
        <f>HYPERLINK("https://media.infra-m.ru/1844/1844321/cover/1844321.jpg", "Обложка")</f>
        <v>Обложка</v>
      </c>
      <c r="V128" s="28" t="str">
        <f>HYPERLINK("https://znanium.com/catalog/product/1844321", "Ознакомиться")</f>
        <v>Ознакомиться</v>
      </c>
      <c r="W128" s="8"/>
      <c r="X128" s="6"/>
      <c r="Y128" s="6"/>
      <c r="Z128" s="6"/>
      <c r="AA128" s="6" t="s">
        <v>161</v>
      </c>
    </row>
    <row r="129" spans="1:27" s="4" customFormat="1" ht="42" customHeight="1">
      <c r="A129" s="5">
        <v>0</v>
      </c>
      <c r="B129" s="6" t="s">
        <v>949</v>
      </c>
      <c r="C129" s="13">
        <v>730</v>
      </c>
      <c r="D129" s="8" t="s">
        <v>950</v>
      </c>
      <c r="E129" s="8" t="s">
        <v>951</v>
      </c>
      <c r="F129" s="8" t="s">
        <v>952</v>
      </c>
      <c r="G129" s="6" t="s">
        <v>52</v>
      </c>
      <c r="H129" s="6" t="s">
        <v>38</v>
      </c>
      <c r="I129" s="8" t="s">
        <v>39</v>
      </c>
      <c r="J129" s="9">
        <v>1</v>
      </c>
      <c r="K129" s="9">
        <v>198</v>
      </c>
      <c r="L129" s="9">
        <v>2021</v>
      </c>
      <c r="M129" s="8" t="s">
        <v>953</v>
      </c>
      <c r="N129" s="8" t="s">
        <v>41</v>
      </c>
      <c r="O129" s="8" t="s">
        <v>54</v>
      </c>
      <c r="P129" s="6" t="s">
        <v>43</v>
      </c>
      <c r="Q129" s="8" t="s">
        <v>44</v>
      </c>
      <c r="R129" s="10" t="s">
        <v>954</v>
      </c>
      <c r="S129" s="11"/>
      <c r="T129" s="6"/>
      <c r="U129" s="28" t="str">
        <f>HYPERLINK("https://media.infra-m.ru/1214/1214839/cover/1214839.jpg", "Обложка")</f>
        <v>Обложка</v>
      </c>
      <c r="V129" s="28" t="str">
        <f>HYPERLINK("https://znanium.com/catalog/product/1214839", "Ознакомиться")</f>
        <v>Ознакомиться</v>
      </c>
      <c r="W129" s="8" t="s">
        <v>253</v>
      </c>
      <c r="X129" s="6"/>
      <c r="Y129" s="6"/>
      <c r="Z129" s="6"/>
      <c r="AA129" s="6" t="s">
        <v>100</v>
      </c>
    </row>
    <row r="130" spans="1:27" s="4" customFormat="1" ht="44.1" customHeight="1">
      <c r="A130" s="5">
        <v>0</v>
      </c>
      <c r="B130" s="6" t="s">
        <v>955</v>
      </c>
      <c r="C130" s="13">
        <v>860</v>
      </c>
      <c r="D130" s="8" t="s">
        <v>956</v>
      </c>
      <c r="E130" s="8" t="s">
        <v>957</v>
      </c>
      <c r="F130" s="8" t="s">
        <v>958</v>
      </c>
      <c r="G130" s="6" t="s">
        <v>52</v>
      </c>
      <c r="H130" s="6" t="s">
        <v>264</v>
      </c>
      <c r="I130" s="8" t="s">
        <v>959</v>
      </c>
      <c r="J130" s="9">
        <v>1</v>
      </c>
      <c r="K130" s="9">
        <v>180</v>
      </c>
      <c r="L130" s="9">
        <v>2024</v>
      </c>
      <c r="M130" s="8" t="s">
        <v>960</v>
      </c>
      <c r="N130" s="8" t="s">
        <v>41</v>
      </c>
      <c r="O130" s="8" t="s">
        <v>54</v>
      </c>
      <c r="P130" s="6" t="s">
        <v>43</v>
      </c>
      <c r="Q130" s="8" t="s">
        <v>961</v>
      </c>
      <c r="R130" s="10" t="s">
        <v>962</v>
      </c>
      <c r="S130" s="11"/>
      <c r="T130" s="6"/>
      <c r="U130" s="28" t="str">
        <f>HYPERLINK("https://media.infra-m.ru/2086/2086789/cover/2086789.jpg", "Обложка")</f>
        <v>Обложка</v>
      </c>
      <c r="V130" s="28" t="str">
        <f>HYPERLINK("https://znanium.com/catalog/product/2086789", "Ознакомиться")</f>
        <v>Ознакомиться</v>
      </c>
      <c r="W130" s="8" t="s">
        <v>963</v>
      </c>
      <c r="X130" s="6"/>
      <c r="Y130" s="6"/>
      <c r="Z130" s="6"/>
      <c r="AA130" s="6" t="s">
        <v>57</v>
      </c>
    </row>
    <row r="131" spans="1:27" s="4" customFormat="1" ht="42" customHeight="1">
      <c r="A131" s="5">
        <v>0</v>
      </c>
      <c r="B131" s="6" t="s">
        <v>964</v>
      </c>
      <c r="C131" s="7">
        <v>1460</v>
      </c>
      <c r="D131" s="8" t="s">
        <v>965</v>
      </c>
      <c r="E131" s="8" t="s">
        <v>966</v>
      </c>
      <c r="F131" s="8" t="s">
        <v>967</v>
      </c>
      <c r="G131" s="6" t="s">
        <v>37</v>
      </c>
      <c r="H131" s="6" t="s">
        <v>38</v>
      </c>
      <c r="I131" s="8" t="s">
        <v>39</v>
      </c>
      <c r="J131" s="9">
        <v>1</v>
      </c>
      <c r="K131" s="9">
        <v>325</v>
      </c>
      <c r="L131" s="9">
        <v>2023</v>
      </c>
      <c r="M131" s="8" t="s">
        <v>968</v>
      </c>
      <c r="N131" s="8" t="s">
        <v>41</v>
      </c>
      <c r="O131" s="8" t="s">
        <v>64</v>
      </c>
      <c r="P131" s="6" t="s">
        <v>43</v>
      </c>
      <c r="Q131" s="8" t="s">
        <v>44</v>
      </c>
      <c r="R131" s="10" t="s">
        <v>499</v>
      </c>
      <c r="S131" s="11"/>
      <c r="T131" s="6"/>
      <c r="U131" s="28" t="str">
        <f>HYPERLINK("https://media.infra-m.ru/1938/1938021/cover/1938021.jpg", "Обложка")</f>
        <v>Обложка</v>
      </c>
      <c r="V131" s="28" t="str">
        <f>HYPERLINK("https://znanium.com/catalog/product/1938021", "Ознакомиться")</f>
        <v>Ознакомиться</v>
      </c>
      <c r="W131" s="8" t="s">
        <v>969</v>
      </c>
      <c r="X131" s="6"/>
      <c r="Y131" s="6"/>
      <c r="Z131" s="6"/>
      <c r="AA131" s="6" t="s">
        <v>530</v>
      </c>
    </row>
    <row r="132" spans="1:27" s="4" customFormat="1" ht="42" customHeight="1">
      <c r="A132" s="5">
        <v>0</v>
      </c>
      <c r="B132" s="6" t="s">
        <v>970</v>
      </c>
      <c r="C132" s="7">
        <v>1090</v>
      </c>
      <c r="D132" s="8" t="s">
        <v>971</v>
      </c>
      <c r="E132" s="8" t="s">
        <v>972</v>
      </c>
      <c r="F132" s="8" t="s">
        <v>967</v>
      </c>
      <c r="G132" s="6" t="s">
        <v>37</v>
      </c>
      <c r="H132" s="6" t="s">
        <v>38</v>
      </c>
      <c r="I132" s="8" t="s">
        <v>39</v>
      </c>
      <c r="J132" s="9">
        <v>1</v>
      </c>
      <c r="K132" s="9">
        <v>310</v>
      </c>
      <c r="L132" s="9">
        <v>2020</v>
      </c>
      <c r="M132" s="8" t="s">
        <v>973</v>
      </c>
      <c r="N132" s="8" t="s">
        <v>41</v>
      </c>
      <c r="O132" s="8" t="s">
        <v>64</v>
      </c>
      <c r="P132" s="6" t="s">
        <v>43</v>
      </c>
      <c r="Q132" s="8" t="s">
        <v>44</v>
      </c>
      <c r="R132" s="10" t="s">
        <v>499</v>
      </c>
      <c r="S132" s="11"/>
      <c r="T132" s="6"/>
      <c r="U132" s="28" t="str">
        <f>HYPERLINK("https://media.infra-m.ru/1053/1053658/cover/1053658.jpg", "Обложка")</f>
        <v>Обложка</v>
      </c>
      <c r="V132" s="28" t="str">
        <f>HYPERLINK("https://znanium.com/catalog/product/1938021", "Ознакомиться")</f>
        <v>Ознакомиться</v>
      </c>
      <c r="W132" s="8" t="s">
        <v>969</v>
      </c>
      <c r="X132" s="6"/>
      <c r="Y132" s="6"/>
      <c r="Z132" s="6"/>
      <c r="AA132" s="6" t="s">
        <v>91</v>
      </c>
    </row>
    <row r="133" spans="1:27" s="4" customFormat="1" ht="51.95" customHeight="1">
      <c r="A133" s="5">
        <v>0</v>
      </c>
      <c r="B133" s="6" t="s">
        <v>974</v>
      </c>
      <c r="C133" s="13">
        <v>970</v>
      </c>
      <c r="D133" s="8" t="s">
        <v>975</v>
      </c>
      <c r="E133" s="8" t="s">
        <v>976</v>
      </c>
      <c r="F133" s="8" t="s">
        <v>977</v>
      </c>
      <c r="G133" s="6" t="s">
        <v>37</v>
      </c>
      <c r="H133" s="6" t="s">
        <v>978</v>
      </c>
      <c r="I133" s="8"/>
      <c r="J133" s="9">
        <v>1</v>
      </c>
      <c r="K133" s="9">
        <v>216</v>
      </c>
      <c r="L133" s="9">
        <v>2023</v>
      </c>
      <c r="M133" s="8" t="s">
        <v>979</v>
      </c>
      <c r="N133" s="8" t="s">
        <v>41</v>
      </c>
      <c r="O133" s="8" t="s">
        <v>42</v>
      </c>
      <c r="P133" s="6" t="s">
        <v>639</v>
      </c>
      <c r="Q133" s="8" t="s">
        <v>66</v>
      </c>
      <c r="R133" s="10" t="s">
        <v>980</v>
      </c>
      <c r="S133" s="11"/>
      <c r="T133" s="6"/>
      <c r="U133" s="28" t="str">
        <f>HYPERLINK("https://media.infra-m.ru/1964/1964928/cover/1964928.jpg", "Обложка")</f>
        <v>Обложка</v>
      </c>
      <c r="V133" s="28" t="str">
        <f>HYPERLINK("https://znanium.com/catalog/product/1915379", "Ознакомиться")</f>
        <v>Ознакомиться</v>
      </c>
      <c r="W133" s="8" t="s">
        <v>981</v>
      </c>
      <c r="X133" s="6"/>
      <c r="Y133" s="6"/>
      <c r="Z133" s="6"/>
      <c r="AA133" s="6" t="s">
        <v>530</v>
      </c>
    </row>
    <row r="134" spans="1:27" s="4" customFormat="1" ht="51.95" customHeight="1">
      <c r="A134" s="5">
        <v>0</v>
      </c>
      <c r="B134" s="6" t="s">
        <v>982</v>
      </c>
      <c r="C134" s="13">
        <v>590</v>
      </c>
      <c r="D134" s="8" t="s">
        <v>983</v>
      </c>
      <c r="E134" s="8" t="s">
        <v>984</v>
      </c>
      <c r="F134" s="8" t="s">
        <v>977</v>
      </c>
      <c r="G134" s="6" t="s">
        <v>52</v>
      </c>
      <c r="H134" s="6" t="s">
        <v>978</v>
      </c>
      <c r="I134" s="8"/>
      <c r="J134" s="9">
        <v>1</v>
      </c>
      <c r="K134" s="9">
        <v>144</v>
      </c>
      <c r="L134" s="9">
        <v>2021</v>
      </c>
      <c r="M134" s="8" t="s">
        <v>985</v>
      </c>
      <c r="N134" s="8" t="s">
        <v>41</v>
      </c>
      <c r="O134" s="8" t="s">
        <v>42</v>
      </c>
      <c r="P134" s="6" t="s">
        <v>639</v>
      </c>
      <c r="Q134" s="8" t="s">
        <v>66</v>
      </c>
      <c r="R134" s="10" t="s">
        <v>980</v>
      </c>
      <c r="S134" s="11"/>
      <c r="T134" s="6"/>
      <c r="U134" s="28" t="str">
        <f>HYPERLINK("https://media.infra-m.ru/1353/1353632/cover/1353632.jpg", "Обложка")</f>
        <v>Обложка</v>
      </c>
      <c r="V134" s="28" t="str">
        <f>HYPERLINK("https://znanium.com/catalog/product/1915379", "Ознакомиться")</f>
        <v>Ознакомиться</v>
      </c>
      <c r="W134" s="8" t="s">
        <v>981</v>
      </c>
      <c r="X134" s="6"/>
      <c r="Y134" s="6"/>
      <c r="Z134" s="6"/>
      <c r="AA134" s="6" t="s">
        <v>70</v>
      </c>
    </row>
    <row r="135" spans="1:27" s="4" customFormat="1" ht="51.95" customHeight="1">
      <c r="A135" s="5">
        <v>0</v>
      </c>
      <c r="B135" s="6" t="s">
        <v>986</v>
      </c>
      <c r="C135" s="7">
        <v>1340</v>
      </c>
      <c r="D135" s="8" t="s">
        <v>987</v>
      </c>
      <c r="E135" s="8" t="s">
        <v>988</v>
      </c>
      <c r="F135" s="8" t="s">
        <v>989</v>
      </c>
      <c r="G135" s="6" t="s">
        <v>37</v>
      </c>
      <c r="H135" s="6" t="s">
        <v>38</v>
      </c>
      <c r="I135" s="8" t="s">
        <v>187</v>
      </c>
      <c r="J135" s="9">
        <v>1</v>
      </c>
      <c r="K135" s="9">
        <v>297</v>
      </c>
      <c r="L135" s="9">
        <v>2023</v>
      </c>
      <c r="M135" s="8" t="s">
        <v>990</v>
      </c>
      <c r="N135" s="8" t="s">
        <v>41</v>
      </c>
      <c r="O135" s="8" t="s">
        <v>64</v>
      </c>
      <c r="P135" s="6" t="s">
        <v>65</v>
      </c>
      <c r="Q135" s="8" t="s">
        <v>189</v>
      </c>
      <c r="R135" s="10" t="s">
        <v>991</v>
      </c>
      <c r="S135" s="11" t="s">
        <v>992</v>
      </c>
      <c r="T135" s="6"/>
      <c r="U135" s="28" t="str">
        <f>HYPERLINK("https://media.infra-m.ru/2033/2033546/cover/2033546.jpg", "Обложка")</f>
        <v>Обложка</v>
      </c>
      <c r="V135" s="28" t="str">
        <f>HYPERLINK("https://znanium.com/catalog/product/2033546", "Ознакомиться")</f>
        <v>Ознакомиться</v>
      </c>
      <c r="W135" s="8" t="s">
        <v>993</v>
      </c>
      <c r="X135" s="6"/>
      <c r="Y135" s="6"/>
      <c r="Z135" s="6"/>
      <c r="AA135" s="6" t="s">
        <v>135</v>
      </c>
    </row>
    <row r="136" spans="1:27" s="4" customFormat="1" ht="51.95" customHeight="1">
      <c r="A136" s="5">
        <v>0</v>
      </c>
      <c r="B136" s="6" t="s">
        <v>994</v>
      </c>
      <c r="C136" s="7">
        <v>1152</v>
      </c>
      <c r="D136" s="8" t="s">
        <v>995</v>
      </c>
      <c r="E136" s="8" t="s">
        <v>996</v>
      </c>
      <c r="F136" s="8" t="s">
        <v>997</v>
      </c>
      <c r="G136" s="6" t="s">
        <v>52</v>
      </c>
      <c r="H136" s="6" t="s">
        <v>38</v>
      </c>
      <c r="I136" s="8" t="s">
        <v>998</v>
      </c>
      <c r="J136" s="9">
        <v>1</v>
      </c>
      <c r="K136" s="9">
        <v>192</v>
      </c>
      <c r="L136" s="9">
        <v>2024</v>
      </c>
      <c r="M136" s="8" t="s">
        <v>999</v>
      </c>
      <c r="N136" s="8" t="s">
        <v>41</v>
      </c>
      <c r="O136" s="8" t="s">
        <v>54</v>
      </c>
      <c r="P136" s="6" t="s">
        <v>43</v>
      </c>
      <c r="Q136" s="8" t="s">
        <v>44</v>
      </c>
      <c r="R136" s="10" t="s">
        <v>1000</v>
      </c>
      <c r="S136" s="11"/>
      <c r="T136" s="6"/>
      <c r="U136" s="28" t="str">
        <f>HYPERLINK("https://media.infra-m.ru/2055/2055773/cover/2055773.jpg", "Обложка")</f>
        <v>Обложка</v>
      </c>
      <c r="V136" s="28" t="str">
        <f>HYPERLINK("https://znanium.com/catalog/product/2055773", "Ознакомиться")</f>
        <v>Ознакомиться</v>
      </c>
      <c r="W136" s="8" t="s">
        <v>1001</v>
      </c>
      <c r="X136" s="6" t="s">
        <v>1002</v>
      </c>
      <c r="Y136" s="6"/>
      <c r="Z136" s="6"/>
      <c r="AA136" s="6" t="s">
        <v>387</v>
      </c>
    </row>
    <row r="137" spans="1:27" s="4" customFormat="1" ht="51.95" customHeight="1">
      <c r="A137" s="5">
        <v>0</v>
      </c>
      <c r="B137" s="6" t="s">
        <v>1003</v>
      </c>
      <c r="C137" s="13">
        <v>954</v>
      </c>
      <c r="D137" s="8" t="s">
        <v>1004</v>
      </c>
      <c r="E137" s="8" t="s">
        <v>1005</v>
      </c>
      <c r="F137" s="8" t="s">
        <v>997</v>
      </c>
      <c r="G137" s="6" t="s">
        <v>52</v>
      </c>
      <c r="H137" s="6" t="s">
        <v>38</v>
      </c>
      <c r="I137" s="8" t="s">
        <v>998</v>
      </c>
      <c r="J137" s="9">
        <v>1</v>
      </c>
      <c r="K137" s="9">
        <v>163</v>
      </c>
      <c r="L137" s="9">
        <v>2023</v>
      </c>
      <c r="M137" s="8" t="s">
        <v>1006</v>
      </c>
      <c r="N137" s="8" t="s">
        <v>41</v>
      </c>
      <c r="O137" s="8" t="s">
        <v>54</v>
      </c>
      <c r="P137" s="6" t="s">
        <v>43</v>
      </c>
      <c r="Q137" s="8" t="s">
        <v>44</v>
      </c>
      <c r="R137" s="10" t="s">
        <v>1000</v>
      </c>
      <c r="S137" s="11"/>
      <c r="T137" s="6"/>
      <c r="U137" s="28" t="str">
        <f>HYPERLINK("https://media.infra-m.ru/1976/1976138/cover/1976138.jpg", "Обложка")</f>
        <v>Обложка</v>
      </c>
      <c r="V137" s="28" t="str">
        <f>HYPERLINK("https://znanium.com/catalog/product/2055773", "Ознакомиться")</f>
        <v>Ознакомиться</v>
      </c>
      <c r="W137" s="8" t="s">
        <v>1001</v>
      </c>
      <c r="X137" s="6"/>
      <c r="Y137" s="6"/>
      <c r="Z137" s="6"/>
      <c r="AA137" s="6" t="s">
        <v>193</v>
      </c>
    </row>
    <row r="138" spans="1:27" s="4" customFormat="1" ht="51.95" customHeight="1">
      <c r="A138" s="5">
        <v>0</v>
      </c>
      <c r="B138" s="6" t="s">
        <v>1007</v>
      </c>
      <c r="C138" s="13">
        <v>490</v>
      </c>
      <c r="D138" s="8" t="s">
        <v>1008</v>
      </c>
      <c r="E138" s="8" t="s">
        <v>1009</v>
      </c>
      <c r="F138" s="8" t="s">
        <v>1010</v>
      </c>
      <c r="G138" s="6" t="s">
        <v>52</v>
      </c>
      <c r="H138" s="6" t="s">
        <v>38</v>
      </c>
      <c r="I138" s="8" t="s">
        <v>187</v>
      </c>
      <c r="J138" s="9">
        <v>1</v>
      </c>
      <c r="K138" s="9">
        <v>105</v>
      </c>
      <c r="L138" s="9">
        <v>2024</v>
      </c>
      <c r="M138" s="8" t="s">
        <v>1011</v>
      </c>
      <c r="N138" s="8" t="s">
        <v>41</v>
      </c>
      <c r="O138" s="8" t="s">
        <v>54</v>
      </c>
      <c r="P138" s="6" t="s">
        <v>1012</v>
      </c>
      <c r="Q138" s="8" t="s">
        <v>189</v>
      </c>
      <c r="R138" s="10" t="s">
        <v>1013</v>
      </c>
      <c r="S138" s="11" t="s">
        <v>1014</v>
      </c>
      <c r="T138" s="6"/>
      <c r="U138" s="28" t="str">
        <f>HYPERLINK("https://media.infra-m.ru/2102/2102684/cover/2102684.jpg", "Обложка")</f>
        <v>Обложка</v>
      </c>
      <c r="V138" s="28" t="str">
        <f>HYPERLINK("https://znanium.com/catalog/product/2102684", "Ознакомиться")</f>
        <v>Ознакомиться</v>
      </c>
      <c r="W138" s="8" t="s">
        <v>699</v>
      </c>
      <c r="X138" s="6"/>
      <c r="Y138" s="6"/>
      <c r="Z138" s="6" t="s">
        <v>192</v>
      </c>
      <c r="AA138" s="6" t="s">
        <v>225</v>
      </c>
    </row>
    <row r="139" spans="1:27" s="4" customFormat="1" ht="51.95" customHeight="1">
      <c r="A139" s="5">
        <v>0</v>
      </c>
      <c r="B139" s="6" t="s">
        <v>1015</v>
      </c>
      <c r="C139" s="13">
        <v>520</v>
      </c>
      <c r="D139" s="8" t="s">
        <v>1016</v>
      </c>
      <c r="E139" s="8" t="s">
        <v>1009</v>
      </c>
      <c r="F139" s="8" t="s">
        <v>1010</v>
      </c>
      <c r="G139" s="6" t="s">
        <v>52</v>
      </c>
      <c r="H139" s="6" t="s">
        <v>38</v>
      </c>
      <c r="I139" s="8" t="s">
        <v>130</v>
      </c>
      <c r="J139" s="9">
        <v>1</v>
      </c>
      <c r="K139" s="9">
        <v>105</v>
      </c>
      <c r="L139" s="9">
        <v>2024</v>
      </c>
      <c r="M139" s="8" t="s">
        <v>1017</v>
      </c>
      <c r="N139" s="8" t="s">
        <v>41</v>
      </c>
      <c r="O139" s="8" t="s">
        <v>54</v>
      </c>
      <c r="P139" s="6" t="s">
        <v>1012</v>
      </c>
      <c r="Q139" s="8" t="s">
        <v>66</v>
      </c>
      <c r="R139" s="10" t="s">
        <v>1018</v>
      </c>
      <c r="S139" s="11" t="s">
        <v>1019</v>
      </c>
      <c r="T139" s="6"/>
      <c r="U139" s="28" t="str">
        <f>HYPERLINK("https://media.infra-m.ru/2082/2082670/cover/2082670.jpg", "Обложка")</f>
        <v>Обложка</v>
      </c>
      <c r="V139" s="28" t="str">
        <f>HYPERLINK("https://znanium.com/catalog/product/2082670", "Ознакомиться")</f>
        <v>Ознакомиться</v>
      </c>
      <c r="W139" s="8" t="s">
        <v>699</v>
      </c>
      <c r="X139" s="6" t="s">
        <v>1020</v>
      </c>
      <c r="Y139" s="6"/>
      <c r="Z139" s="6"/>
      <c r="AA139" s="6" t="s">
        <v>387</v>
      </c>
    </row>
    <row r="140" spans="1:27" s="4" customFormat="1" ht="51.95" customHeight="1">
      <c r="A140" s="5">
        <v>0</v>
      </c>
      <c r="B140" s="6" t="s">
        <v>1021</v>
      </c>
      <c r="C140" s="13">
        <v>470</v>
      </c>
      <c r="D140" s="8" t="s">
        <v>1022</v>
      </c>
      <c r="E140" s="8" t="s">
        <v>1023</v>
      </c>
      <c r="F140" s="8" t="s">
        <v>1024</v>
      </c>
      <c r="G140" s="6" t="s">
        <v>52</v>
      </c>
      <c r="H140" s="6" t="s">
        <v>38</v>
      </c>
      <c r="I140" s="8" t="s">
        <v>62</v>
      </c>
      <c r="J140" s="9">
        <v>1</v>
      </c>
      <c r="K140" s="9">
        <v>104</v>
      </c>
      <c r="L140" s="9">
        <v>2022</v>
      </c>
      <c r="M140" s="8" t="s">
        <v>1025</v>
      </c>
      <c r="N140" s="8" t="s">
        <v>41</v>
      </c>
      <c r="O140" s="8" t="s">
        <v>54</v>
      </c>
      <c r="P140" s="6" t="s">
        <v>1012</v>
      </c>
      <c r="Q140" s="8" t="s">
        <v>66</v>
      </c>
      <c r="R140" s="10" t="s">
        <v>1018</v>
      </c>
      <c r="S140" s="11" t="s">
        <v>1026</v>
      </c>
      <c r="T140" s="6"/>
      <c r="U140" s="28" t="str">
        <f>HYPERLINK("https://media.infra-m.ru/1942/1942678/cover/1942678.jpg", "Обложка")</f>
        <v>Обложка</v>
      </c>
      <c r="V140" s="28" t="str">
        <f>HYPERLINK("https://znanium.com/catalog/product/2082670", "Ознакомиться")</f>
        <v>Ознакомиться</v>
      </c>
      <c r="W140" s="8" t="s">
        <v>699</v>
      </c>
      <c r="X140" s="6"/>
      <c r="Y140" s="6"/>
      <c r="Z140" s="6"/>
      <c r="AA140" s="6" t="s">
        <v>161</v>
      </c>
    </row>
    <row r="141" spans="1:27" s="4" customFormat="1" ht="42" customHeight="1">
      <c r="A141" s="5">
        <v>0</v>
      </c>
      <c r="B141" s="6" t="s">
        <v>1027</v>
      </c>
      <c r="C141" s="13">
        <v>820</v>
      </c>
      <c r="D141" s="8" t="s">
        <v>1028</v>
      </c>
      <c r="E141" s="8" t="s">
        <v>1029</v>
      </c>
      <c r="F141" s="8" t="s">
        <v>1030</v>
      </c>
      <c r="G141" s="6" t="s">
        <v>121</v>
      </c>
      <c r="H141" s="6" t="s">
        <v>317</v>
      </c>
      <c r="I141" s="8" t="s">
        <v>187</v>
      </c>
      <c r="J141" s="9">
        <v>1</v>
      </c>
      <c r="K141" s="9">
        <v>224</v>
      </c>
      <c r="L141" s="9">
        <v>2021</v>
      </c>
      <c r="M141" s="8" t="s">
        <v>1031</v>
      </c>
      <c r="N141" s="8" t="s">
        <v>41</v>
      </c>
      <c r="O141" s="8" t="s">
        <v>54</v>
      </c>
      <c r="P141" s="6" t="s">
        <v>65</v>
      </c>
      <c r="Q141" s="8" t="s">
        <v>189</v>
      </c>
      <c r="R141" s="10" t="s">
        <v>1032</v>
      </c>
      <c r="S141" s="11"/>
      <c r="T141" s="6"/>
      <c r="U141" s="28" t="str">
        <f>HYPERLINK("https://media.infra-m.ru/1094/1094740/cover/1094740.jpg", "Обложка")</f>
        <v>Обложка</v>
      </c>
      <c r="V141" s="28" t="str">
        <f>HYPERLINK("https://znanium.com/catalog/product/1094740", "Ознакомиться")</f>
        <v>Ознакомиться</v>
      </c>
      <c r="W141" s="8" t="s">
        <v>1033</v>
      </c>
      <c r="X141" s="6"/>
      <c r="Y141" s="6"/>
      <c r="Z141" s="6"/>
      <c r="AA141" s="6" t="s">
        <v>320</v>
      </c>
    </row>
    <row r="142" spans="1:27" s="4" customFormat="1" ht="51.95" customHeight="1">
      <c r="A142" s="5">
        <v>0</v>
      </c>
      <c r="B142" s="6" t="s">
        <v>1034</v>
      </c>
      <c r="C142" s="13">
        <v>894.9</v>
      </c>
      <c r="D142" s="8" t="s">
        <v>1035</v>
      </c>
      <c r="E142" s="8" t="s">
        <v>1036</v>
      </c>
      <c r="F142" s="8" t="s">
        <v>1037</v>
      </c>
      <c r="G142" s="6" t="s">
        <v>121</v>
      </c>
      <c r="H142" s="6" t="s">
        <v>317</v>
      </c>
      <c r="I142" s="8" t="s">
        <v>680</v>
      </c>
      <c r="J142" s="9">
        <v>1</v>
      </c>
      <c r="K142" s="9">
        <v>278</v>
      </c>
      <c r="L142" s="9">
        <v>2019</v>
      </c>
      <c r="M142" s="8" t="s">
        <v>1038</v>
      </c>
      <c r="N142" s="8" t="s">
        <v>41</v>
      </c>
      <c r="O142" s="8" t="s">
        <v>54</v>
      </c>
      <c r="P142" s="6" t="s">
        <v>85</v>
      </c>
      <c r="Q142" s="8" t="s">
        <v>66</v>
      </c>
      <c r="R142" s="10" t="s">
        <v>1039</v>
      </c>
      <c r="S142" s="11"/>
      <c r="T142" s="6"/>
      <c r="U142" s="28" t="str">
        <f>HYPERLINK("https://media.infra-m.ru/1024/1024045/cover/1024045.jpg", "Обложка")</f>
        <v>Обложка</v>
      </c>
      <c r="V142" s="28" t="str">
        <f>HYPERLINK("https://znanium.com/catalog/product/1015049", "Ознакомиться")</f>
        <v>Ознакомиться</v>
      </c>
      <c r="W142" s="8" t="s">
        <v>806</v>
      </c>
      <c r="X142" s="6"/>
      <c r="Y142" s="6"/>
      <c r="Z142" s="6"/>
      <c r="AA142" s="6" t="s">
        <v>70</v>
      </c>
    </row>
    <row r="143" spans="1:27" s="4" customFormat="1" ht="51.95" customHeight="1">
      <c r="A143" s="5">
        <v>0</v>
      </c>
      <c r="B143" s="6" t="s">
        <v>1040</v>
      </c>
      <c r="C143" s="7">
        <v>2150</v>
      </c>
      <c r="D143" s="8" t="s">
        <v>1041</v>
      </c>
      <c r="E143" s="8" t="s">
        <v>1042</v>
      </c>
      <c r="F143" s="8" t="s">
        <v>1043</v>
      </c>
      <c r="G143" s="6" t="s">
        <v>121</v>
      </c>
      <c r="H143" s="6" t="s">
        <v>38</v>
      </c>
      <c r="I143" s="8" t="s">
        <v>62</v>
      </c>
      <c r="J143" s="9">
        <v>1</v>
      </c>
      <c r="K143" s="9">
        <v>466</v>
      </c>
      <c r="L143" s="9">
        <v>2023</v>
      </c>
      <c r="M143" s="8" t="s">
        <v>1044</v>
      </c>
      <c r="N143" s="8" t="s">
        <v>41</v>
      </c>
      <c r="O143" s="8" t="s">
        <v>54</v>
      </c>
      <c r="P143" s="6" t="s">
        <v>65</v>
      </c>
      <c r="Q143" s="8" t="s">
        <v>66</v>
      </c>
      <c r="R143" s="10" t="s">
        <v>1045</v>
      </c>
      <c r="S143" s="11" t="s">
        <v>1046</v>
      </c>
      <c r="T143" s="6"/>
      <c r="U143" s="28" t="str">
        <f>HYPERLINK("https://media.infra-m.ru/2051/2051471/cover/2051471.jpg", "Обложка")</f>
        <v>Обложка</v>
      </c>
      <c r="V143" s="28" t="str">
        <f>HYPERLINK("https://znanium.com/catalog/product/2051471", "Ознакомиться")</f>
        <v>Ознакомиться</v>
      </c>
      <c r="W143" s="8" t="s">
        <v>339</v>
      </c>
      <c r="X143" s="6"/>
      <c r="Y143" s="6"/>
      <c r="Z143" s="6"/>
      <c r="AA143" s="6" t="s">
        <v>78</v>
      </c>
    </row>
    <row r="144" spans="1:27" s="4" customFormat="1" ht="42" customHeight="1">
      <c r="A144" s="5">
        <v>0</v>
      </c>
      <c r="B144" s="6" t="s">
        <v>1047</v>
      </c>
      <c r="C144" s="13">
        <v>814.9</v>
      </c>
      <c r="D144" s="8" t="s">
        <v>1048</v>
      </c>
      <c r="E144" s="8" t="s">
        <v>1049</v>
      </c>
      <c r="F144" s="8" t="s">
        <v>1030</v>
      </c>
      <c r="G144" s="6" t="s">
        <v>37</v>
      </c>
      <c r="H144" s="6" t="s">
        <v>317</v>
      </c>
      <c r="I144" s="8" t="s">
        <v>187</v>
      </c>
      <c r="J144" s="9">
        <v>1</v>
      </c>
      <c r="K144" s="9">
        <v>208</v>
      </c>
      <c r="L144" s="9">
        <v>2022</v>
      </c>
      <c r="M144" s="8" t="s">
        <v>1050</v>
      </c>
      <c r="N144" s="8" t="s">
        <v>41</v>
      </c>
      <c r="O144" s="8" t="s">
        <v>54</v>
      </c>
      <c r="P144" s="6" t="s">
        <v>85</v>
      </c>
      <c r="Q144" s="8" t="s">
        <v>189</v>
      </c>
      <c r="R144" s="10" t="s">
        <v>1032</v>
      </c>
      <c r="S144" s="11"/>
      <c r="T144" s="6"/>
      <c r="U144" s="28" t="str">
        <f>HYPERLINK("https://media.infra-m.ru/1843/1843260/cover/1843260.jpg", "Обложка")</f>
        <v>Обложка</v>
      </c>
      <c r="V144" s="28" t="str">
        <f>HYPERLINK("https://znanium.com/catalog/product/1796823", "Ознакомиться")</f>
        <v>Ознакомиться</v>
      </c>
      <c r="W144" s="8" t="s">
        <v>1033</v>
      </c>
      <c r="X144" s="6"/>
      <c r="Y144" s="6"/>
      <c r="Z144" s="6"/>
      <c r="AA144" s="6" t="s">
        <v>320</v>
      </c>
    </row>
    <row r="145" spans="1:27" s="4" customFormat="1" ht="51.95" customHeight="1">
      <c r="A145" s="5">
        <v>0</v>
      </c>
      <c r="B145" s="6" t="s">
        <v>1051</v>
      </c>
      <c r="C145" s="13">
        <v>650</v>
      </c>
      <c r="D145" s="8" t="s">
        <v>1052</v>
      </c>
      <c r="E145" s="8" t="s">
        <v>1049</v>
      </c>
      <c r="F145" s="8" t="s">
        <v>1053</v>
      </c>
      <c r="G145" s="6" t="s">
        <v>37</v>
      </c>
      <c r="H145" s="6" t="s">
        <v>38</v>
      </c>
      <c r="I145" s="8" t="s">
        <v>130</v>
      </c>
      <c r="J145" s="9">
        <v>1</v>
      </c>
      <c r="K145" s="9">
        <v>133</v>
      </c>
      <c r="L145" s="9">
        <v>2023</v>
      </c>
      <c r="M145" s="8" t="s">
        <v>1054</v>
      </c>
      <c r="N145" s="8" t="s">
        <v>41</v>
      </c>
      <c r="O145" s="8" t="s">
        <v>54</v>
      </c>
      <c r="P145" s="6" t="s">
        <v>85</v>
      </c>
      <c r="Q145" s="8" t="s">
        <v>132</v>
      </c>
      <c r="R145" s="10" t="s">
        <v>1055</v>
      </c>
      <c r="S145" s="11" t="s">
        <v>1056</v>
      </c>
      <c r="T145" s="6"/>
      <c r="U145" s="28" t="str">
        <f>HYPERLINK("https://media.infra-m.ru/2012/2012529/cover/2012529.jpg", "Обложка")</f>
        <v>Обложка</v>
      </c>
      <c r="V145" s="28" t="str">
        <f>HYPERLINK("https://znanium.com/catalog/product/1915507", "Ознакомиться")</f>
        <v>Ознакомиться</v>
      </c>
      <c r="W145" s="8" t="s">
        <v>699</v>
      </c>
      <c r="X145" s="6"/>
      <c r="Y145" s="6"/>
      <c r="Z145" s="6"/>
      <c r="AA145" s="6" t="s">
        <v>47</v>
      </c>
    </row>
    <row r="146" spans="1:27" s="4" customFormat="1" ht="44.1" customHeight="1">
      <c r="A146" s="5">
        <v>0</v>
      </c>
      <c r="B146" s="6" t="s">
        <v>1057</v>
      </c>
      <c r="C146" s="13">
        <v>630</v>
      </c>
      <c r="D146" s="8" t="s">
        <v>1058</v>
      </c>
      <c r="E146" s="8" t="s">
        <v>1049</v>
      </c>
      <c r="F146" s="8" t="s">
        <v>1059</v>
      </c>
      <c r="G146" s="6" t="s">
        <v>121</v>
      </c>
      <c r="H146" s="6" t="s">
        <v>122</v>
      </c>
      <c r="I146" s="8" t="s">
        <v>298</v>
      </c>
      <c r="J146" s="9">
        <v>1</v>
      </c>
      <c r="K146" s="9">
        <v>174</v>
      </c>
      <c r="L146" s="9">
        <v>2020</v>
      </c>
      <c r="M146" s="8" t="s">
        <v>1060</v>
      </c>
      <c r="N146" s="8" t="s">
        <v>41</v>
      </c>
      <c r="O146" s="8" t="s">
        <v>54</v>
      </c>
      <c r="P146" s="6" t="s">
        <v>65</v>
      </c>
      <c r="Q146" s="8" t="s">
        <v>189</v>
      </c>
      <c r="R146" s="10" t="s">
        <v>1013</v>
      </c>
      <c r="S146" s="11"/>
      <c r="T146" s="6"/>
      <c r="U146" s="28" t="str">
        <f>HYPERLINK("https://media.infra-m.ru/1045/1045945/cover/1045945.jpg", "Обложка")</f>
        <v>Обложка</v>
      </c>
      <c r="V146" s="28" t="str">
        <f>HYPERLINK("https://znanium.com/catalog/product/1045945", "Ознакомиться")</f>
        <v>Ознакомиться</v>
      </c>
      <c r="W146" s="8"/>
      <c r="X146" s="6"/>
      <c r="Y146" s="6"/>
      <c r="Z146" s="6" t="s">
        <v>192</v>
      </c>
      <c r="AA146" s="6" t="s">
        <v>108</v>
      </c>
    </row>
    <row r="147" spans="1:27" s="4" customFormat="1" ht="51.95" customHeight="1">
      <c r="A147" s="5">
        <v>0</v>
      </c>
      <c r="B147" s="6" t="s">
        <v>1061</v>
      </c>
      <c r="C147" s="7">
        <v>2440</v>
      </c>
      <c r="D147" s="8" t="s">
        <v>1062</v>
      </c>
      <c r="E147" s="8" t="s">
        <v>1049</v>
      </c>
      <c r="F147" s="8" t="s">
        <v>1063</v>
      </c>
      <c r="G147" s="6" t="s">
        <v>37</v>
      </c>
      <c r="H147" s="6" t="s">
        <v>38</v>
      </c>
      <c r="I147" s="8" t="s">
        <v>62</v>
      </c>
      <c r="J147" s="9">
        <v>1</v>
      </c>
      <c r="K147" s="9">
        <v>542</v>
      </c>
      <c r="L147" s="9">
        <v>2020</v>
      </c>
      <c r="M147" s="8" t="s">
        <v>1064</v>
      </c>
      <c r="N147" s="8" t="s">
        <v>41</v>
      </c>
      <c r="O147" s="8" t="s">
        <v>54</v>
      </c>
      <c r="P147" s="6" t="s">
        <v>65</v>
      </c>
      <c r="Q147" s="8" t="s">
        <v>66</v>
      </c>
      <c r="R147" s="10" t="s">
        <v>1065</v>
      </c>
      <c r="S147" s="11" t="s">
        <v>1066</v>
      </c>
      <c r="T147" s="6"/>
      <c r="U147" s="28" t="str">
        <f>HYPERLINK("https://media.infra-m.ru/1117/1117204/cover/1117204.jpg", "Обложка")</f>
        <v>Обложка</v>
      </c>
      <c r="V147" s="28" t="str">
        <f>HYPERLINK("https://znanium.com/catalog/product/1117204", "Ознакомиться")</f>
        <v>Ознакомиться</v>
      </c>
      <c r="W147" s="8" t="s">
        <v>313</v>
      </c>
      <c r="X147" s="6"/>
      <c r="Y147" s="6"/>
      <c r="Z147" s="6"/>
      <c r="AA147" s="6" t="s">
        <v>193</v>
      </c>
    </row>
    <row r="148" spans="1:27" s="4" customFormat="1" ht="51.95" customHeight="1">
      <c r="A148" s="5">
        <v>0</v>
      </c>
      <c r="B148" s="6" t="s">
        <v>1067</v>
      </c>
      <c r="C148" s="13">
        <v>840</v>
      </c>
      <c r="D148" s="8" t="s">
        <v>1068</v>
      </c>
      <c r="E148" s="8" t="s">
        <v>1049</v>
      </c>
      <c r="F148" s="8" t="s">
        <v>1069</v>
      </c>
      <c r="G148" s="6" t="s">
        <v>37</v>
      </c>
      <c r="H148" s="6" t="s">
        <v>355</v>
      </c>
      <c r="I148" s="8" t="s">
        <v>187</v>
      </c>
      <c r="J148" s="9">
        <v>1</v>
      </c>
      <c r="K148" s="9">
        <v>222</v>
      </c>
      <c r="L148" s="9">
        <v>2022</v>
      </c>
      <c r="M148" s="8" t="s">
        <v>1070</v>
      </c>
      <c r="N148" s="8" t="s">
        <v>41</v>
      </c>
      <c r="O148" s="8" t="s">
        <v>54</v>
      </c>
      <c r="P148" s="6" t="s">
        <v>65</v>
      </c>
      <c r="Q148" s="8" t="s">
        <v>189</v>
      </c>
      <c r="R148" s="10" t="s">
        <v>1071</v>
      </c>
      <c r="S148" s="11" t="s">
        <v>1072</v>
      </c>
      <c r="T148" s="6"/>
      <c r="U148" s="28" t="str">
        <f>HYPERLINK("https://media.infra-m.ru/1843/1843569/cover/1843569.jpg", "Обложка")</f>
        <v>Обложка</v>
      </c>
      <c r="V148" s="28" t="str">
        <f>HYPERLINK("https://znanium.com/catalog/product/1843569", "Ознакомиться")</f>
        <v>Ознакомиться</v>
      </c>
      <c r="W148" s="8" t="s">
        <v>313</v>
      </c>
      <c r="X148" s="6"/>
      <c r="Y148" s="6"/>
      <c r="Z148" s="6"/>
      <c r="AA148" s="6" t="s">
        <v>445</v>
      </c>
    </row>
    <row r="149" spans="1:27" s="4" customFormat="1" ht="51.95" customHeight="1">
      <c r="A149" s="5">
        <v>0</v>
      </c>
      <c r="B149" s="6" t="s">
        <v>1073</v>
      </c>
      <c r="C149" s="13">
        <v>594.9</v>
      </c>
      <c r="D149" s="8" t="s">
        <v>1074</v>
      </c>
      <c r="E149" s="8" t="s">
        <v>1049</v>
      </c>
      <c r="F149" s="8" t="s">
        <v>1075</v>
      </c>
      <c r="G149" s="6" t="s">
        <v>121</v>
      </c>
      <c r="H149" s="6" t="s">
        <v>122</v>
      </c>
      <c r="I149" s="8" t="s">
        <v>298</v>
      </c>
      <c r="J149" s="9">
        <v>1</v>
      </c>
      <c r="K149" s="9">
        <v>174</v>
      </c>
      <c r="L149" s="9">
        <v>2020</v>
      </c>
      <c r="M149" s="8" t="s">
        <v>1076</v>
      </c>
      <c r="N149" s="8" t="s">
        <v>41</v>
      </c>
      <c r="O149" s="8" t="s">
        <v>54</v>
      </c>
      <c r="P149" s="6" t="s">
        <v>65</v>
      </c>
      <c r="Q149" s="8" t="s">
        <v>66</v>
      </c>
      <c r="R149" s="10" t="s">
        <v>1077</v>
      </c>
      <c r="S149" s="11" t="s">
        <v>1078</v>
      </c>
      <c r="T149" s="6"/>
      <c r="U149" s="28" t="str">
        <f>HYPERLINK("https://media.infra-m.ru/1044/1044359/cover/1044359.jpg", "Обложка")</f>
        <v>Обложка</v>
      </c>
      <c r="V149" s="28" t="str">
        <f>HYPERLINK("https://znanium.com/catalog/product/1044359", "Ознакомиться")</f>
        <v>Ознакомиться</v>
      </c>
      <c r="W149" s="8"/>
      <c r="X149" s="6"/>
      <c r="Y149" s="6"/>
      <c r="Z149" s="6"/>
      <c r="AA149" s="6" t="s">
        <v>392</v>
      </c>
    </row>
    <row r="150" spans="1:27" s="4" customFormat="1" ht="51.95" customHeight="1">
      <c r="A150" s="5">
        <v>0</v>
      </c>
      <c r="B150" s="6" t="s">
        <v>1079</v>
      </c>
      <c r="C150" s="13">
        <v>590</v>
      </c>
      <c r="D150" s="8" t="s">
        <v>1080</v>
      </c>
      <c r="E150" s="8" t="s">
        <v>1081</v>
      </c>
      <c r="F150" s="8" t="s">
        <v>1082</v>
      </c>
      <c r="G150" s="6" t="s">
        <v>52</v>
      </c>
      <c r="H150" s="6" t="s">
        <v>38</v>
      </c>
      <c r="I150" s="8" t="s">
        <v>1083</v>
      </c>
      <c r="J150" s="9">
        <v>1</v>
      </c>
      <c r="K150" s="9">
        <v>128</v>
      </c>
      <c r="L150" s="9">
        <v>2024</v>
      </c>
      <c r="M150" s="8" t="s">
        <v>1084</v>
      </c>
      <c r="N150" s="8" t="s">
        <v>41</v>
      </c>
      <c r="O150" s="8" t="s">
        <v>42</v>
      </c>
      <c r="P150" s="6" t="s">
        <v>1085</v>
      </c>
      <c r="Q150" s="8" t="s">
        <v>1086</v>
      </c>
      <c r="R150" s="10" t="s">
        <v>1087</v>
      </c>
      <c r="S150" s="11"/>
      <c r="T150" s="6"/>
      <c r="U150" s="28" t="str">
        <f>HYPERLINK("https://media.infra-m.ru/2102/2102720/cover/2102720.jpg", "Обложка")</f>
        <v>Обложка</v>
      </c>
      <c r="V150" s="28" t="str">
        <f>HYPERLINK("https://znanium.com/catalog/product/2102720", "Ознакомиться")</f>
        <v>Ознакомиться</v>
      </c>
      <c r="W150" s="8" t="s">
        <v>784</v>
      </c>
      <c r="X150" s="6"/>
      <c r="Y150" s="6"/>
      <c r="Z150" s="6"/>
      <c r="AA150" s="6" t="s">
        <v>1088</v>
      </c>
    </row>
    <row r="151" spans="1:27" s="4" customFormat="1" ht="51.95" customHeight="1">
      <c r="A151" s="5">
        <v>0</v>
      </c>
      <c r="B151" s="6" t="s">
        <v>1089</v>
      </c>
      <c r="C151" s="7">
        <v>1140</v>
      </c>
      <c r="D151" s="8" t="s">
        <v>1090</v>
      </c>
      <c r="E151" s="8" t="s">
        <v>1091</v>
      </c>
      <c r="F151" s="8" t="s">
        <v>1092</v>
      </c>
      <c r="G151" s="6" t="s">
        <v>37</v>
      </c>
      <c r="H151" s="6" t="s">
        <v>38</v>
      </c>
      <c r="I151" s="8" t="s">
        <v>1083</v>
      </c>
      <c r="J151" s="9">
        <v>1</v>
      </c>
      <c r="K151" s="9">
        <v>253</v>
      </c>
      <c r="L151" s="9">
        <v>2023</v>
      </c>
      <c r="M151" s="8" t="s">
        <v>1093</v>
      </c>
      <c r="N151" s="8" t="s">
        <v>41</v>
      </c>
      <c r="O151" s="8" t="s">
        <v>42</v>
      </c>
      <c r="P151" s="6" t="s">
        <v>1094</v>
      </c>
      <c r="Q151" s="8" t="s">
        <v>1086</v>
      </c>
      <c r="R151" s="10" t="s">
        <v>1095</v>
      </c>
      <c r="S151" s="11"/>
      <c r="T151" s="6"/>
      <c r="U151" s="28" t="str">
        <f>HYPERLINK("https://media.infra-m.ru/1913/1913609/cover/1913609.jpg", "Обложка")</f>
        <v>Обложка</v>
      </c>
      <c r="V151" s="28" t="str">
        <f>HYPERLINK("https://znanium.com/catalog/product/1913609", "Ознакомиться")</f>
        <v>Ознакомиться</v>
      </c>
      <c r="W151" s="8" t="s">
        <v>1096</v>
      </c>
      <c r="X151" s="6"/>
      <c r="Y151" s="6"/>
      <c r="Z151" s="6"/>
      <c r="AA151" s="6" t="s">
        <v>1097</v>
      </c>
    </row>
    <row r="152" spans="1:27" s="4" customFormat="1" ht="44.1" customHeight="1">
      <c r="A152" s="5">
        <v>0</v>
      </c>
      <c r="B152" s="6" t="s">
        <v>1098</v>
      </c>
      <c r="C152" s="13">
        <v>910</v>
      </c>
      <c r="D152" s="8" t="s">
        <v>1099</v>
      </c>
      <c r="E152" s="8" t="s">
        <v>1100</v>
      </c>
      <c r="F152" s="8" t="s">
        <v>1101</v>
      </c>
      <c r="G152" s="6" t="s">
        <v>52</v>
      </c>
      <c r="H152" s="6" t="s">
        <v>38</v>
      </c>
      <c r="I152" s="8" t="s">
        <v>1102</v>
      </c>
      <c r="J152" s="9">
        <v>1</v>
      </c>
      <c r="K152" s="9">
        <v>203</v>
      </c>
      <c r="L152" s="9">
        <v>2023</v>
      </c>
      <c r="M152" s="8" t="s">
        <v>1103</v>
      </c>
      <c r="N152" s="8" t="s">
        <v>41</v>
      </c>
      <c r="O152" s="8" t="s">
        <v>54</v>
      </c>
      <c r="P152" s="6" t="s">
        <v>43</v>
      </c>
      <c r="Q152" s="8" t="s">
        <v>44</v>
      </c>
      <c r="R152" s="10" t="s">
        <v>1104</v>
      </c>
      <c r="S152" s="11"/>
      <c r="T152" s="6"/>
      <c r="U152" s="28" t="str">
        <f>HYPERLINK("https://media.infra-m.ru/1894/1894476/cover/1894476.jpg", "Обложка")</f>
        <v>Обложка</v>
      </c>
      <c r="V152" s="12"/>
      <c r="W152" s="8" t="s">
        <v>463</v>
      </c>
      <c r="X152" s="6"/>
      <c r="Y152" s="6"/>
      <c r="Z152" s="6"/>
      <c r="AA152" s="6" t="s">
        <v>91</v>
      </c>
    </row>
    <row r="153" spans="1:27" s="4" customFormat="1" ht="42" customHeight="1">
      <c r="A153" s="5">
        <v>0</v>
      </c>
      <c r="B153" s="6" t="s">
        <v>1105</v>
      </c>
      <c r="C153" s="13">
        <v>914.9</v>
      </c>
      <c r="D153" s="8" t="s">
        <v>1106</v>
      </c>
      <c r="E153" s="8" t="s">
        <v>1107</v>
      </c>
      <c r="F153" s="8" t="s">
        <v>1108</v>
      </c>
      <c r="G153" s="6" t="s">
        <v>52</v>
      </c>
      <c r="H153" s="6" t="s">
        <v>122</v>
      </c>
      <c r="I153" s="8" t="s">
        <v>39</v>
      </c>
      <c r="J153" s="9">
        <v>1</v>
      </c>
      <c r="K153" s="9">
        <v>204</v>
      </c>
      <c r="L153" s="9">
        <v>2023</v>
      </c>
      <c r="M153" s="8" t="s">
        <v>1109</v>
      </c>
      <c r="N153" s="8" t="s">
        <v>41</v>
      </c>
      <c r="O153" s="8" t="s">
        <v>54</v>
      </c>
      <c r="P153" s="6" t="s">
        <v>43</v>
      </c>
      <c r="Q153" s="8" t="s">
        <v>44</v>
      </c>
      <c r="R153" s="10" t="s">
        <v>1110</v>
      </c>
      <c r="S153" s="11"/>
      <c r="T153" s="6" t="s">
        <v>89</v>
      </c>
      <c r="U153" s="28" t="str">
        <f>HYPERLINK("https://media.infra-m.ru/1894/1894477/cover/1894477.jpg", "Обложка")</f>
        <v>Обложка</v>
      </c>
      <c r="V153" s="28" t="str">
        <f>HYPERLINK("https://znanium.com/catalog/product/1234850", "Ознакомиться")</f>
        <v>Ознакомиться</v>
      </c>
      <c r="W153" s="8" t="s">
        <v>1111</v>
      </c>
      <c r="X153" s="6"/>
      <c r="Y153" s="6"/>
      <c r="Z153" s="6"/>
      <c r="AA153" s="6" t="s">
        <v>70</v>
      </c>
    </row>
    <row r="154" spans="1:27" s="4" customFormat="1" ht="51.95" customHeight="1">
      <c r="A154" s="5">
        <v>0</v>
      </c>
      <c r="B154" s="6" t="s">
        <v>1112</v>
      </c>
      <c r="C154" s="7">
        <v>1564.9</v>
      </c>
      <c r="D154" s="8" t="s">
        <v>1113</v>
      </c>
      <c r="E154" s="8" t="s">
        <v>1114</v>
      </c>
      <c r="F154" s="8" t="s">
        <v>1115</v>
      </c>
      <c r="G154" s="6" t="s">
        <v>37</v>
      </c>
      <c r="H154" s="6" t="s">
        <v>38</v>
      </c>
      <c r="I154" s="8" t="s">
        <v>653</v>
      </c>
      <c r="J154" s="9">
        <v>1</v>
      </c>
      <c r="K154" s="9">
        <v>348</v>
      </c>
      <c r="L154" s="9">
        <v>2023</v>
      </c>
      <c r="M154" s="8" t="s">
        <v>1116</v>
      </c>
      <c r="N154" s="8" t="s">
        <v>41</v>
      </c>
      <c r="O154" s="8" t="s">
        <v>54</v>
      </c>
      <c r="P154" s="6" t="s">
        <v>65</v>
      </c>
      <c r="Q154" s="8" t="s">
        <v>66</v>
      </c>
      <c r="R154" s="10" t="s">
        <v>1117</v>
      </c>
      <c r="S154" s="11" t="s">
        <v>1118</v>
      </c>
      <c r="T154" s="6"/>
      <c r="U154" s="28" t="str">
        <f>HYPERLINK("https://media.infra-m.ru/1983/1983265/cover/1983265.jpg", "Обложка")</f>
        <v>Обложка</v>
      </c>
      <c r="V154" s="28" t="str">
        <f>HYPERLINK("https://znanium.com/catalog/product/1864884", "Ознакомиться")</f>
        <v>Ознакомиться</v>
      </c>
      <c r="W154" s="8" t="s">
        <v>1001</v>
      </c>
      <c r="X154" s="6"/>
      <c r="Y154" s="6"/>
      <c r="Z154" s="6"/>
      <c r="AA154" s="6" t="s">
        <v>135</v>
      </c>
    </row>
    <row r="155" spans="1:27" s="4" customFormat="1" ht="51.95" customHeight="1">
      <c r="A155" s="5">
        <v>0</v>
      </c>
      <c r="B155" s="6" t="s">
        <v>1119</v>
      </c>
      <c r="C155" s="7">
        <v>1720</v>
      </c>
      <c r="D155" s="8" t="s">
        <v>1120</v>
      </c>
      <c r="E155" s="8" t="s">
        <v>1121</v>
      </c>
      <c r="F155" s="8" t="s">
        <v>1115</v>
      </c>
      <c r="G155" s="6" t="s">
        <v>121</v>
      </c>
      <c r="H155" s="6" t="s">
        <v>38</v>
      </c>
      <c r="I155" s="8" t="s">
        <v>653</v>
      </c>
      <c r="J155" s="9">
        <v>1</v>
      </c>
      <c r="K155" s="9">
        <v>504</v>
      </c>
      <c r="L155" s="9">
        <v>2020</v>
      </c>
      <c r="M155" s="8" t="s">
        <v>1122</v>
      </c>
      <c r="N155" s="8" t="s">
        <v>41</v>
      </c>
      <c r="O155" s="8" t="s">
        <v>54</v>
      </c>
      <c r="P155" s="6" t="s">
        <v>85</v>
      </c>
      <c r="Q155" s="8" t="s">
        <v>66</v>
      </c>
      <c r="R155" s="10" t="s">
        <v>1123</v>
      </c>
      <c r="S155" s="11" t="s">
        <v>1124</v>
      </c>
      <c r="T155" s="6"/>
      <c r="U155" s="28" t="str">
        <f>HYPERLINK("https://media.infra-m.ru/1072/1072180/cover/1072180.jpg", "Обложка")</f>
        <v>Обложка</v>
      </c>
      <c r="V155" s="28" t="str">
        <f>HYPERLINK("https://znanium.com/catalog/product/1072180", "Ознакомиться")</f>
        <v>Ознакомиться</v>
      </c>
      <c r="W155" s="8" t="s">
        <v>1001</v>
      </c>
      <c r="X155" s="6"/>
      <c r="Y155" s="6"/>
      <c r="Z155" s="6"/>
      <c r="AA155" s="6" t="s">
        <v>108</v>
      </c>
    </row>
    <row r="156" spans="1:27" s="4" customFormat="1" ht="51.95" customHeight="1">
      <c r="A156" s="5">
        <v>0</v>
      </c>
      <c r="B156" s="6" t="s">
        <v>1125</v>
      </c>
      <c r="C156" s="13">
        <v>724.9</v>
      </c>
      <c r="D156" s="8" t="s">
        <v>1126</v>
      </c>
      <c r="E156" s="8" t="s">
        <v>1127</v>
      </c>
      <c r="F156" s="8" t="s">
        <v>1128</v>
      </c>
      <c r="G156" s="6" t="s">
        <v>52</v>
      </c>
      <c r="H156" s="6" t="s">
        <v>38</v>
      </c>
      <c r="I156" s="8" t="s">
        <v>83</v>
      </c>
      <c r="J156" s="9">
        <v>1</v>
      </c>
      <c r="K156" s="9">
        <v>164</v>
      </c>
      <c r="L156" s="9">
        <v>2020</v>
      </c>
      <c r="M156" s="8" t="s">
        <v>1129</v>
      </c>
      <c r="N156" s="8" t="s">
        <v>41</v>
      </c>
      <c r="O156" s="8" t="s">
        <v>54</v>
      </c>
      <c r="P156" s="6" t="s">
        <v>65</v>
      </c>
      <c r="Q156" s="8" t="s">
        <v>66</v>
      </c>
      <c r="R156" s="10" t="s">
        <v>1130</v>
      </c>
      <c r="S156" s="11" t="s">
        <v>1131</v>
      </c>
      <c r="T156" s="6"/>
      <c r="U156" s="28" t="str">
        <f>HYPERLINK("https://media.infra-m.ru/1081/1081986/cover/1081986.jpg", "Обложка")</f>
        <v>Обложка</v>
      </c>
      <c r="V156" s="28" t="str">
        <f>HYPERLINK("https://znanium.com/catalog/product/917972", "Ознакомиться")</f>
        <v>Ознакомиться</v>
      </c>
      <c r="W156" s="8" t="s">
        <v>699</v>
      </c>
      <c r="X156" s="6"/>
      <c r="Y156" s="6"/>
      <c r="Z156" s="6"/>
      <c r="AA156" s="6" t="s">
        <v>161</v>
      </c>
    </row>
    <row r="157" spans="1:27" s="4" customFormat="1" ht="51.95" customHeight="1">
      <c r="A157" s="5">
        <v>0</v>
      </c>
      <c r="B157" s="6" t="s">
        <v>1132</v>
      </c>
      <c r="C157" s="7">
        <v>1400</v>
      </c>
      <c r="D157" s="8" t="s">
        <v>1133</v>
      </c>
      <c r="E157" s="8" t="s">
        <v>1134</v>
      </c>
      <c r="F157" s="8" t="s">
        <v>1135</v>
      </c>
      <c r="G157" s="6" t="s">
        <v>37</v>
      </c>
      <c r="H157" s="6" t="s">
        <v>38</v>
      </c>
      <c r="I157" s="8" t="s">
        <v>130</v>
      </c>
      <c r="J157" s="9">
        <v>1</v>
      </c>
      <c r="K157" s="9">
        <v>304</v>
      </c>
      <c r="L157" s="9">
        <v>2023</v>
      </c>
      <c r="M157" s="8" t="s">
        <v>1136</v>
      </c>
      <c r="N157" s="8" t="s">
        <v>41</v>
      </c>
      <c r="O157" s="8" t="s">
        <v>54</v>
      </c>
      <c r="P157" s="6" t="s">
        <v>65</v>
      </c>
      <c r="Q157" s="8" t="s">
        <v>66</v>
      </c>
      <c r="R157" s="10" t="s">
        <v>697</v>
      </c>
      <c r="S157" s="11" t="s">
        <v>1137</v>
      </c>
      <c r="T157" s="6"/>
      <c r="U157" s="28" t="str">
        <f>HYPERLINK("https://media.infra-m.ru/1896/1896401/cover/1896401.jpg", "Обложка")</f>
        <v>Обложка</v>
      </c>
      <c r="V157" s="28" t="str">
        <f>HYPERLINK("https://znanium.com/catalog/product/1896401", "Ознакомиться")</f>
        <v>Ознакомиться</v>
      </c>
      <c r="W157" s="8" t="s">
        <v>699</v>
      </c>
      <c r="X157" s="6"/>
      <c r="Y157" s="6"/>
      <c r="Z157" s="6"/>
      <c r="AA157" s="6" t="s">
        <v>1138</v>
      </c>
    </row>
    <row r="158" spans="1:27" s="4" customFormat="1" ht="51.95" customHeight="1">
      <c r="A158" s="5">
        <v>0</v>
      </c>
      <c r="B158" s="6" t="s">
        <v>1139</v>
      </c>
      <c r="C158" s="7">
        <v>1760</v>
      </c>
      <c r="D158" s="8" t="s">
        <v>1140</v>
      </c>
      <c r="E158" s="8" t="s">
        <v>1141</v>
      </c>
      <c r="F158" s="8" t="s">
        <v>1142</v>
      </c>
      <c r="G158" s="6" t="s">
        <v>37</v>
      </c>
      <c r="H158" s="6" t="s">
        <v>38</v>
      </c>
      <c r="I158" s="8" t="s">
        <v>62</v>
      </c>
      <c r="J158" s="9">
        <v>1</v>
      </c>
      <c r="K158" s="9">
        <v>392</v>
      </c>
      <c r="L158" s="9">
        <v>2023</v>
      </c>
      <c r="M158" s="8" t="s">
        <v>1143</v>
      </c>
      <c r="N158" s="8" t="s">
        <v>41</v>
      </c>
      <c r="O158" s="8" t="s">
        <v>64</v>
      </c>
      <c r="P158" s="6" t="s">
        <v>65</v>
      </c>
      <c r="Q158" s="8" t="s">
        <v>66</v>
      </c>
      <c r="R158" s="10" t="s">
        <v>1144</v>
      </c>
      <c r="S158" s="11" t="s">
        <v>1145</v>
      </c>
      <c r="T158" s="6"/>
      <c r="U158" s="28" t="str">
        <f>HYPERLINK("https://media.infra-m.ru/1894/1894764/cover/1894764.jpg", "Обложка")</f>
        <v>Обложка</v>
      </c>
      <c r="V158" s="28" t="str">
        <f>HYPERLINK("https://znanium.com/catalog/product/1894764", "Ознакомиться")</f>
        <v>Ознакомиться</v>
      </c>
      <c r="W158" s="8" t="s">
        <v>463</v>
      </c>
      <c r="X158" s="6"/>
      <c r="Y158" s="6"/>
      <c r="Z158" s="6"/>
      <c r="AA158" s="6" t="s">
        <v>161</v>
      </c>
    </row>
    <row r="159" spans="1:27" s="4" customFormat="1" ht="51.95" customHeight="1">
      <c r="A159" s="5">
        <v>0</v>
      </c>
      <c r="B159" s="6" t="s">
        <v>1146</v>
      </c>
      <c r="C159" s="13">
        <v>674</v>
      </c>
      <c r="D159" s="8" t="s">
        <v>1147</v>
      </c>
      <c r="E159" s="8" t="s">
        <v>1148</v>
      </c>
      <c r="F159" s="8" t="s">
        <v>1149</v>
      </c>
      <c r="G159" s="6" t="s">
        <v>52</v>
      </c>
      <c r="H159" s="6" t="s">
        <v>38</v>
      </c>
      <c r="I159" s="8" t="s">
        <v>62</v>
      </c>
      <c r="J159" s="9">
        <v>1</v>
      </c>
      <c r="K159" s="9">
        <v>142</v>
      </c>
      <c r="L159" s="9">
        <v>2023</v>
      </c>
      <c r="M159" s="8" t="s">
        <v>1150</v>
      </c>
      <c r="N159" s="8" t="s">
        <v>41</v>
      </c>
      <c r="O159" s="8" t="s">
        <v>64</v>
      </c>
      <c r="P159" s="6" t="s">
        <v>65</v>
      </c>
      <c r="Q159" s="8" t="s">
        <v>66</v>
      </c>
      <c r="R159" s="10" t="s">
        <v>1151</v>
      </c>
      <c r="S159" s="11" t="s">
        <v>1152</v>
      </c>
      <c r="T159" s="6"/>
      <c r="U159" s="28" t="str">
        <f>HYPERLINK("https://media.infra-m.ru/1995/1995326/cover/1995326.jpg", "Обложка")</f>
        <v>Обложка</v>
      </c>
      <c r="V159" s="28" t="str">
        <f>HYPERLINK("https://znanium.com/catalog/product/1117212", "Ознакомиться")</f>
        <v>Ознакомиться</v>
      </c>
      <c r="W159" s="8" t="s">
        <v>339</v>
      </c>
      <c r="X159" s="6"/>
      <c r="Y159" s="6"/>
      <c r="Z159" s="6"/>
      <c r="AA159" s="6" t="s">
        <v>70</v>
      </c>
    </row>
    <row r="160" spans="1:27" s="4" customFormat="1" ht="51.95" customHeight="1">
      <c r="A160" s="5">
        <v>0</v>
      </c>
      <c r="B160" s="6" t="s">
        <v>1153</v>
      </c>
      <c r="C160" s="13">
        <v>640</v>
      </c>
      <c r="D160" s="8" t="s">
        <v>1154</v>
      </c>
      <c r="E160" s="8" t="s">
        <v>1148</v>
      </c>
      <c r="F160" s="8" t="s">
        <v>1149</v>
      </c>
      <c r="G160" s="6" t="s">
        <v>37</v>
      </c>
      <c r="H160" s="6" t="s">
        <v>38</v>
      </c>
      <c r="I160" s="8" t="s">
        <v>187</v>
      </c>
      <c r="J160" s="9">
        <v>1</v>
      </c>
      <c r="K160" s="9">
        <v>142</v>
      </c>
      <c r="L160" s="9">
        <v>2023</v>
      </c>
      <c r="M160" s="8" t="s">
        <v>1155</v>
      </c>
      <c r="N160" s="8" t="s">
        <v>41</v>
      </c>
      <c r="O160" s="8" t="s">
        <v>64</v>
      </c>
      <c r="P160" s="6" t="s">
        <v>65</v>
      </c>
      <c r="Q160" s="8" t="s">
        <v>189</v>
      </c>
      <c r="R160" s="10" t="s">
        <v>1156</v>
      </c>
      <c r="S160" s="11" t="s">
        <v>1157</v>
      </c>
      <c r="T160" s="6"/>
      <c r="U160" s="28" t="str">
        <f>HYPERLINK("https://media.infra-m.ru/1898/1898986/cover/1898986.jpg", "Обложка")</f>
        <v>Обложка</v>
      </c>
      <c r="V160" s="28" t="str">
        <f>HYPERLINK("https://znanium.com/catalog/product/1898986", "Ознакомиться")</f>
        <v>Ознакомиться</v>
      </c>
      <c r="W160" s="8" t="s">
        <v>339</v>
      </c>
      <c r="X160" s="6"/>
      <c r="Y160" s="6"/>
      <c r="Z160" s="6" t="s">
        <v>192</v>
      </c>
      <c r="AA160" s="6" t="s">
        <v>135</v>
      </c>
    </row>
    <row r="161" spans="1:27" s="4" customFormat="1" ht="51.95" customHeight="1">
      <c r="A161" s="5">
        <v>0</v>
      </c>
      <c r="B161" s="6" t="s">
        <v>1158</v>
      </c>
      <c r="C161" s="13">
        <v>600</v>
      </c>
      <c r="D161" s="8" t="s">
        <v>1159</v>
      </c>
      <c r="E161" s="8" t="s">
        <v>1160</v>
      </c>
      <c r="F161" s="8" t="s">
        <v>989</v>
      </c>
      <c r="G161" s="6" t="s">
        <v>37</v>
      </c>
      <c r="H161" s="6" t="s">
        <v>38</v>
      </c>
      <c r="I161" s="8" t="s">
        <v>187</v>
      </c>
      <c r="J161" s="9">
        <v>1</v>
      </c>
      <c r="K161" s="9">
        <v>203</v>
      </c>
      <c r="L161" s="9">
        <v>2018</v>
      </c>
      <c r="M161" s="8" t="s">
        <v>1161</v>
      </c>
      <c r="N161" s="8" t="s">
        <v>41</v>
      </c>
      <c r="O161" s="8" t="s">
        <v>64</v>
      </c>
      <c r="P161" s="6" t="s">
        <v>65</v>
      </c>
      <c r="Q161" s="8" t="s">
        <v>189</v>
      </c>
      <c r="R161" s="10" t="s">
        <v>1162</v>
      </c>
      <c r="S161" s="11" t="s">
        <v>1163</v>
      </c>
      <c r="T161" s="6"/>
      <c r="U161" s="28" t="str">
        <f>HYPERLINK("https://media.infra-m.ru/0960/0960130/cover/960130.jpg", "Обложка")</f>
        <v>Обложка</v>
      </c>
      <c r="V161" s="28" t="str">
        <f>HYPERLINK("https://znanium.com/catalog/product/2113306", "Ознакомиться")</f>
        <v>Ознакомиться</v>
      </c>
      <c r="W161" s="8" t="s">
        <v>993</v>
      </c>
      <c r="X161" s="6"/>
      <c r="Y161" s="6"/>
      <c r="Z161" s="6" t="s">
        <v>192</v>
      </c>
      <c r="AA161" s="6" t="s">
        <v>91</v>
      </c>
    </row>
    <row r="162" spans="1:27" s="4" customFormat="1" ht="51.95" customHeight="1">
      <c r="A162" s="5">
        <v>0</v>
      </c>
      <c r="B162" s="6" t="s">
        <v>1164</v>
      </c>
      <c r="C162" s="7">
        <v>1010</v>
      </c>
      <c r="D162" s="8" t="s">
        <v>1165</v>
      </c>
      <c r="E162" s="8" t="s">
        <v>1166</v>
      </c>
      <c r="F162" s="8" t="s">
        <v>1167</v>
      </c>
      <c r="G162" s="6" t="s">
        <v>37</v>
      </c>
      <c r="H162" s="6" t="s">
        <v>38</v>
      </c>
      <c r="I162" s="8" t="s">
        <v>62</v>
      </c>
      <c r="J162" s="9">
        <v>1</v>
      </c>
      <c r="K162" s="9">
        <v>223</v>
      </c>
      <c r="L162" s="9">
        <v>2023</v>
      </c>
      <c r="M162" s="8" t="s">
        <v>1168</v>
      </c>
      <c r="N162" s="8" t="s">
        <v>41</v>
      </c>
      <c r="O162" s="8" t="s">
        <v>181</v>
      </c>
      <c r="P162" s="6" t="s">
        <v>65</v>
      </c>
      <c r="Q162" s="8" t="s">
        <v>66</v>
      </c>
      <c r="R162" s="10" t="s">
        <v>1169</v>
      </c>
      <c r="S162" s="11"/>
      <c r="T162" s="6" t="s">
        <v>89</v>
      </c>
      <c r="U162" s="28" t="str">
        <f>HYPERLINK("https://media.infra-m.ru/1861/1861665/cover/1861665.jpg", "Обложка")</f>
        <v>Обложка</v>
      </c>
      <c r="V162" s="28" t="str">
        <f>HYPERLINK("https://znanium.com/catalog/product/1861665", "Ознакомиться")</f>
        <v>Ознакомиться</v>
      </c>
      <c r="W162" s="8" t="s">
        <v>1170</v>
      </c>
      <c r="X162" s="6"/>
      <c r="Y162" s="6"/>
      <c r="Z162" s="6"/>
      <c r="AA162" s="6" t="s">
        <v>100</v>
      </c>
    </row>
    <row r="163" spans="1:27" s="4" customFormat="1" ht="51.95" customHeight="1">
      <c r="A163" s="5">
        <v>0</v>
      </c>
      <c r="B163" s="6" t="s">
        <v>1171</v>
      </c>
      <c r="C163" s="7">
        <v>1030</v>
      </c>
      <c r="D163" s="8" t="s">
        <v>1172</v>
      </c>
      <c r="E163" s="8" t="s">
        <v>1166</v>
      </c>
      <c r="F163" s="8" t="s">
        <v>1167</v>
      </c>
      <c r="G163" s="6" t="s">
        <v>37</v>
      </c>
      <c r="H163" s="6" t="s">
        <v>38</v>
      </c>
      <c r="I163" s="8" t="s">
        <v>187</v>
      </c>
      <c r="J163" s="9">
        <v>1</v>
      </c>
      <c r="K163" s="9">
        <v>223</v>
      </c>
      <c r="L163" s="9">
        <v>2024</v>
      </c>
      <c r="M163" s="8" t="s">
        <v>1173</v>
      </c>
      <c r="N163" s="8" t="s">
        <v>41</v>
      </c>
      <c r="O163" s="8" t="s">
        <v>181</v>
      </c>
      <c r="P163" s="6" t="s">
        <v>65</v>
      </c>
      <c r="Q163" s="8" t="s">
        <v>189</v>
      </c>
      <c r="R163" s="10" t="s">
        <v>1174</v>
      </c>
      <c r="S163" s="11" t="s">
        <v>1175</v>
      </c>
      <c r="T163" s="6" t="s">
        <v>89</v>
      </c>
      <c r="U163" s="28" t="str">
        <f>HYPERLINK("https://media.infra-m.ru/2096/2096929/cover/2096929.jpg", "Обложка")</f>
        <v>Обложка</v>
      </c>
      <c r="V163" s="28" t="str">
        <f>HYPERLINK("https://znanium.com/catalog/product/2096929", "Ознакомиться")</f>
        <v>Ознакомиться</v>
      </c>
      <c r="W163" s="8" t="s">
        <v>1170</v>
      </c>
      <c r="X163" s="6"/>
      <c r="Y163" s="6"/>
      <c r="Z163" s="6" t="s">
        <v>192</v>
      </c>
      <c r="AA163" s="6" t="s">
        <v>91</v>
      </c>
    </row>
    <row r="164" spans="1:27" s="4" customFormat="1" ht="51.95" customHeight="1">
      <c r="A164" s="5">
        <v>0</v>
      </c>
      <c r="B164" s="6" t="s">
        <v>1176</v>
      </c>
      <c r="C164" s="13">
        <v>820</v>
      </c>
      <c r="D164" s="8" t="s">
        <v>1177</v>
      </c>
      <c r="E164" s="8" t="s">
        <v>1178</v>
      </c>
      <c r="F164" s="8" t="s">
        <v>1179</v>
      </c>
      <c r="G164" s="6" t="s">
        <v>37</v>
      </c>
      <c r="H164" s="6" t="s">
        <v>38</v>
      </c>
      <c r="I164" s="8" t="s">
        <v>653</v>
      </c>
      <c r="J164" s="9">
        <v>1</v>
      </c>
      <c r="K164" s="9">
        <v>195</v>
      </c>
      <c r="L164" s="9">
        <v>2022</v>
      </c>
      <c r="M164" s="8" t="s">
        <v>1180</v>
      </c>
      <c r="N164" s="8" t="s">
        <v>41</v>
      </c>
      <c r="O164" s="8" t="s">
        <v>42</v>
      </c>
      <c r="P164" s="6" t="s">
        <v>65</v>
      </c>
      <c r="Q164" s="8" t="s">
        <v>66</v>
      </c>
      <c r="R164" s="10" t="s">
        <v>1181</v>
      </c>
      <c r="S164" s="11" t="s">
        <v>1182</v>
      </c>
      <c r="T164" s="6"/>
      <c r="U164" s="28" t="str">
        <f>HYPERLINK("https://media.infra-m.ru/1862/1862660/cover/1862660.jpg", "Обложка")</f>
        <v>Обложка</v>
      </c>
      <c r="V164" s="28" t="str">
        <f>HYPERLINK("https://znanium.com/catalog/product/1862660", "Ознакомиться")</f>
        <v>Ознакомиться</v>
      </c>
      <c r="W164" s="8" t="s">
        <v>1001</v>
      </c>
      <c r="X164" s="6"/>
      <c r="Y164" s="6"/>
      <c r="Z164" s="6"/>
      <c r="AA164" s="6" t="s">
        <v>193</v>
      </c>
    </row>
    <row r="165" spans="1:27" s="4" customFormat="1" ht="51.95" customHeight="1">
      <c r="A165" s="5">
        <v>0</v>
      </c>
      <c r="B165" s="6" t="s">
        <v>1183</v>
      </c>
      <c r="C165" s="13">
        <v>890</v>
      </c>
      <c r="D165" s="8" t="s">
        <v>1184</v>
      </c>
      <c r="E165" s="8" t="s">
        <v>1185</v>
      </c>
      <c r="F165" s="8" t="s">
        <v>1186</v>
      </c>
      <c r="G165" s="6" t="s">
        <v>52</v>
      </c>
      <c r="H165" s="6" t="s">
        <v>38</v>
      </c>
      <c r="I165" s="8" t="s">
        <v>39</v>
      </c>
      <c r="J165" s="9">
        <v>1</v>
      </c>
      <c r="K165" s="9">
        <v>180</v>
      </c>
      <c r="L165" s="9">
        <v>2023</v>
      </c>
      <c r="M165" s="8" t="s">
        <v>1187</v>
      </c>
      <c r="N165" s="8" t="s">
        <v>41</v>
      </c>
      <c r="O165" s="8" t="s">
        <v>64</v>
      </c>
      <c r="P165" s="6" t="s">
        <v>43</v>
      </c>
      <c r="Q165" s="8" t="s">
        <v>44</v>
      </c>
      <c r="R165" s="10" t="s">
        <v>1188</v>
      </c>
      <c r="S165" s="11"/>
      <c r="T165" s="6"/>
      <c r="U165" s="28" t="str">
        <f>HYPERLINK("https://media.infra-m.ru/1850/1850657/cover/1850657.jpg", "Обложка")</f>
        <v>Обложка</v>
      </c>
      <c r="V165" s="28" t="str">
        <f>HYPERLINK("https://znanium.com/catalog/product/1850657", "Ознакомиться")</f>
        <v>Ознакомиться</v>
      </c>
      <c r="W165" s="8" t="s">
        <v>408</v>
      </c>
      <c r="X165" s="6" t="s">
        <v>628</v>
      </c>
      <c r="Y165" s="6"/>
      <c r="Z165" s="6"/>
      <c r="AA165" s="6" t="s">
        <v>382</v>
      </c>
    </row>
    <row r="166" spans="1:27" s="4" customFormat="1" ht="51.95" customHeight="1">
      <c r="A166" s="5">
        <v>0</v>
      </c>
      <c r="B166" s="6" t="s">
        <v>1189</v>
      </c>
      <c r="C166" s="13">
        <v>690</v>
      </c>
      <c r="D166" s="8" t="s">
        <v>1190</v>
      </c>
      <c r="E166" s="8" t="s">
        <v>1191</v>
      </c>
      <c r="F166" s="8" t="s">
        <v>1192</v>
      </c>
      <c r="G166" s="6" t="s">
        <v>52</v>
      </c>
      <c r="H166" s="6" t="s">
        <v>38</v>
      </c>
      <c r="I166" s="8" t="s">
        <v>39</v>
      </c>
      <c r="J166" s="9">
        <v>1</v>
      </c>
      <c r="K166" s="9">
        <v>177</v>
      </c>
      <c r="L166" s="9">
        <v>2022</v>
      </c>
      <c r="M166" s="8" t="s">
        <v>1193</v>
      </c>
      <c r="N166" s="8" t="s">
        <v>41</v>
      </c>
      <c r="O166" s="8" t="s">
        <v>64</v>
      </c>
      <c r="P166" s="6" t="s">
        <v>43</v>
      </c>
      <c r="Q166" s="8" t="s">
        <v>44</v>
      </c>
      <c r="R166" s="10" t="s">
        <v>1188</v>
      </c>
      <c r="S166" s="11"/>
      <c r="T166" s="6"/>
      <c r="U166" s="28" t="str">
        <f>HYPERLINK("https://media.infra-m.ru/1846/1846238/cover/1846238.jpg", "Обложка")</f>
        <v>Обложка</v>
      </c>
      <c r="V166" s="28" t="str">
        <f>HYPERLINK("https://znanium.com/catalog/product/1850657", "Ознакомиться")</f>
        <v>Ознакомиться</v>
      </c>
      <c r="W166" s="8" t="s">
        <v>408</v>
      </c>
      <c r="X166" s="6"/>
      <c r="Y166" s="6"/>
      <c r="Z166" s="6"/>
      <c r="AA166" s="6" t="s">
        <v>193</v>
      </c>
    </row>
    <row r="167" spans="1:27" s="4" customFormat="1" ht="51.95" customHeight="1">
      <c r="A167" s="5">
        <v>0</v>
      </c>
      <c r="B167" s="6" t="s">
        <v>1194</v>
      </c>
      <c r="C167" s="13">
        <v>750</v>
      </c>
      <c r="D167" s="8" t="s">
        <v>1195</v>
      </c>
      <c r="E167" s="8" t="s">
        <v>1196</v>
      </c>
      <c r="F167" s="8" t="s">
        <v>1197</v>
      </c>
      <c r="G167" s="6" t="s">
        <v>37</v>
      </c>
      <c r="H167" s="6" t="s">
        <v>38</v>
      </c>
      <c r="I167" s="8" t="s">
        <v>1198</v>
      </c>
      <c r="J167" s="9">
        <v>1</v>
      </c>
      <c r="K167" s="9">
        <v>193</v>
      </c>
      <c r="L167" s="9">
        <v>2022</v>
      </c>
      <c r="M167" s="8" t="s">
        <v>1199</v>
      </c>
      <c r="N167" s="8" t="s">
        <v>41</v>
      </c>
      <c r="O167" s="8" t="s">
        <v>54</v>
      </c>
      <c r="P167" s="6" t="s">
        <v>65</v>
      </c>
      <c r="Q167" s="8" t="s">
        <v>86</v>
      </c>
      <c r="R167" s="10" t="s">
        <v>1200</v>
      </c>
      <c r="S167" s="11" t="s">
        <v>1201</v>
      </c>
      <c r="T167" s="6" t="s">
        <v>89</v>
      </c>
      <c r="U167" s="28" t="str">
        <f>HYPERLINK("https://media.infra-m.ru/1864/1864087/cover/1864087.jpg", "Обложка")</f>
        <v>Обложка</v>
      </c>
      <c r="V167" s="28" t="str">
        <f>HYPERLINK("https://znanium.com/catalog/product/1864087", "Ознакомиться")</f>
        <v>Ознакомиться</v>
      </c>
      <c r="W167" s="8" t="s">
        <v>1001</v>
      </c>
      <c r="X167" s="6"/>
      <c r="Y167" s="6"/>
      <c r="Z167" s="6"/>
      <c r="AA167" s="6" t="s">
        <v>108</v>
      </c>
    </row>
    <row r="168" spans="1:27" s="4" customFormat="1" ht="51.95" customHeight="1">
      <c r="A168" s="5">
        <v>0</v>
      </c>
      <c r="B168" s="6" t="s">
        <v>1202</v>
      </c>
      <c r="C168" s="7">
        <v>2060</v>
      </c>
      <c r="D168" s="8" t="s">
        <v>1203</v>
      </c>
      <c r="E168" s="8" t="s">
        <v>1204</v>
      </c>
      <c r="F168" s="8" t="s">
        <v>1205</v>
      </c>
      <c r="G168" s="6" t="s">
        <v>37</v>
      </c>
      <c r="H168" s="6" t="s">
        <v>38</v>
      </c>
      <c r="I168" s="8" t="s">
        <v>187</v>
      </c>
      <c r="J168" s="9">
        <v>1</v>
      </c>
      <c r="K168" s="9">
        <v>479</v>
      </c>
      <c r="L168" s="9">
        <v>2023</v>
      </c>
      <c r="M168" s="8" t="s">
        <v>1206</v>
      </c>
      <c r="N168" s="8" t="s">
        <v>41</v>
      </c>
      <c r="O168" s="8" t="s">
        <v>64</v>
      </c>
      <c r="P168" s="6" t="s">
        <v>85</v>
      </c>
      <c r="Q168" s="8" t="s">
        <v>189</v>
      </c>
      <c r="R168" s="10" t="s">
        <v>1207</v>
      </c>
      <c r="S168" s="11" t="s">
        <v>1208</v>
      </c>
      <c r="T168" s="6"/>
      <c r="U168" s="28" t="str">
        <f>HYPERLINK("https://media.infra-m.ru/1874/1874716/cover/1874716.jpg", "Обложка")</f>
        <v>Обложка</v>
      </c>
      <c r="V168" s="28" t="str">
        <f>HYPERLINK("https://znanium.com/catalog/product/1874716", "Ознакомиться")</f>
        <v>Ознакомиться</v>
      </c>
      <c r="W168" s="8" t="s">
        <v>1209</v>
      </c>
      <c r="X168" s="6"/>
      <c r="Y168" s="6"/>
      <c r="Z168" s="6" t="s">
        <v>1210</v>
      </c>
      <c r="AA168" s="6" t="s">
        <v>1211</v>
      </c>
    </row>
    <row r="169" spans="1:27" s="4" customFormat="1" ht="51.95" customHeight="1">
      <c r="A169" s="5">
        <v>0</v>
      </c>
      <c r="B169" s="6" t="s">
        <v>1212</v>
      </c>
      <c r="C169" s="7">
        <v>2090</v>
      </c>
      <c r="D169" s="8" t="s">
        <v>1213</v>
      </c>
      <c r="E169" s="8" t="s">
        <v>1214</v>
      </c>
      <c r="F169" s="8" t="s">
        <v>1215</v>
      </c>
      <c r="G169" s="6" t="s">
        <v>37</v>
      </c>
      <c r="H169" s="6" t="s">
        <v>38</v>
      </c>
      <c r="I169" s="8" t="s">
        <v>187</v>
      </c>
      <c r="J169" s="9">
        <v>1</v>
      </c>
      <c r="K169" s="9">
        <v>605</v>
      </c>
      <c r="L169" s="9">
        <v>2022</v>
      </c>
      <c r="M169" s="8" t="s">
        <v>1216</v>
      </c>
      <c r="N169" s="8" t="s">
        <v>41</v>
      </c>
      <c r="O169" s="8" t="s">
        <v>64</v>
      </c>
      <c r="P169" s="6" t="s">
        <v>65</v>
      </c>
      <c r="Q169" s="8" t="s">
        <v>189</v>
      </c>
      <c r="R169" s="10" t="s">
        <v>1217</v>
      </c>
      <c r="S169" s="11" t="s">
        <v>1218</v>
      </c>
      <c r="T169" s="6" t="s">
        <v>89</v>
      </c>
      <c r="U169" s="28" t="str">
        <f>HYPERLINK("https://media.infra-m.ru/1864/1864090/cover/1864090.jpg", "Обложка")</f>
        <v>Обложка</v>
      </c>
      <c r="V169" s="28" t="str">
        <f>HYPERLINK("https://znanium.com/catalog/product/1864090", "Ознакомиться")</f>
        <v>Ознакомиться</v>
      </c>
      <c r="W169" s="8" t="s">
        <v>1219</v>
      </c>
      <c r="X169" s="6"/>
      <c r="Y169" s="6"/>
      <c r="Z169" s="6" t="s">
        <v>192</v>
      </c>
      <c r="AA169" s="6" t="s">
        <v>135</v>
      </c>
    </row>
    <row r="170" spans="1:27" s="4" customFormat="1" ht="51.95" customHeight="1">
      <c r="A170" s="5">
        <v>0</v>
      </c>
      <c r="B170" s="6" t="s">
        <v>1220</v>
      </c>
      <c r="C170" s="7">
        <v>2500</v>
      </c>
      <c r="D170" s="8" t="s">
        <v>1221</v>
      </c>
      <c r="E170" s="8" t="s">
        <v>1222</v>
      </c>
      <c r="F170" s="8" t="s">
        <v>1215</v>
      </c>
      <c r="G170" s="6" t="s">
        <v>37</v>
      </c>
      <c r="H170" s="6" t="s">
        <v>38</v>
      </c>
      <c r="I170" s="8" t="s">
        <v>62</v>
      </c>
      <c r="J170" s="9">
        <v>1</v>
      </c>
      <c r="K170" s="9">
        <v>556</v>
      </c>
      <c r="L170" s="9">
        <v>2023</v>
      </c>
      <c r="M170" s="8" t="s">
        <v>1223</v>
      </c>
      <c r="N170" s="8" t="s">
        <v>41</v>
      </c>
      <c r="O170" s="8" t="s">
        <v>64</v>
      </c>
      <c r="P170" s="6" t="s">
        <v>65</v>
      </c>
      <c r="Q170" s="8" t="s">
        <v>66</v>
      </c>
      <c r="R170" s="10" t="s">
        <v>1224</v>
      </c>
      <c r="S170" s="11" t="s">
        <v>1225</v>
      </c>
      <c r="T170" s="6"/>
      <c r="U170" s="28" t="str">
        <f>HYPERLINK("https://media.infra-m.ru/1971/1971859/cover/1971859.jpg", "Обложка")</f>
        <v>Обложка</v>
      </c>
      <c r="V170" s="28" t="str">
        <f>HYPERLINK("https://znanium.com/catalog/product/1971859", "Ознакомиться")</f>
        <v>Ознакомиться</v>
      </c>
      <c r="W170" s="8" t="s">
        <v>1219</v>
      </c>
      <c r="X170" s="6"/>
      <c r="Y170" s="6"/>
      <c r="Z170" s="6"/>
      <c r="AA170" s="6" t="s">
        <v>91</v>
      </c>
    </row>
    <row r="171" spans="1:27" s="4" customFormat="1" ht="51.95" customHeight="1">
      <c r="A171" s="5">
        <v>0</v>
      </c>
      <c r="B171" s="6" t="s">
        <v>1226</v>
      </c>
      <c r="C171" s="7">
        <v>2360</v>
      </c>
      <c r="D171" s="8" t="s">
        <v>1227</v>
      </c>
      <c r="E171" s="8" t="s">
        <v>1228</v>
      </c>
      <c r="F171" s="8" t="s">
        <v>1215</v>
      </c>
      <c r="G171" s="6" t="s">
        <v>37</v>
      </c>
      <c r="H171" s="6" t="s">
        <v>38</v>
      </c>
      <c r="I171" s="8" t="s">
        <v>62</v>
      </c>
      <c r="J171" s="9">
        <v>1</v>
      </c>
      <c r="K171" s="9">
        <v>523</v>
      </c>
      <c r="L171" s="9">
        <v>2022</v>
      </c>
      <c r="M171" s="8" t="s">
        <v>1229</v>
      </c>
      <c r="N171" s="8" t="s">
        <v>41</v>
      </c>
      <c r="O171" s="8" t="s">
        <v>64</v>
      </c>
      <c r="P171" s="6" t="s">
        <v>65</v>
      </c>
      <c r="Q171" s="8" t="s">
        <v>66</v>
      </c>
      <c r="R171" s="10" t="s">
        <v>1230</v>
      </c>
      <c r="S171" s="11" t="s">
        <v>1231</v>
      </c>
      <c r="T171" s="6"/>
      <c r="U171" s="28" t="str">
        <f>HYPERLINK("https://media.infra-m.ru/1789/1789097/cover/1789097.jpg", "Обложка")</f>
        <v>Обложка</v>
      </c>
      <c r="V171" s="28" t="str">
        <f>HYPERLINK("https://znanium.com/catalog/product/1789097", "Ознакомиться")</f>
        <v>Ознакомиться</v>
      </c>
      <c r="W171" s="8" t="s">
        <v>1219</v>
      </c>
      <c r="X171" s="6"/>
      <c r="Y171" s="6"/>
      <c r="Z171" s="6"/>
      <c r="AA171" s="6" t="s">
        <v>320</v>
      </c>
    </row>
    <row r="172" spans="1:27" s="4" customFormat="1" ht="51.95" customHeight="1">
      <c r="A172" s="5">
        <v>0</v>
      </c>
      <c r="B172" s="6" t="s">
        <v>1232</v>
      </c>
      <c r="C172" s="7">
        <v>2490</v>
      </c>
      <c r="D172" s="8" t="s">
        <v>1233</v>
      </c>
      <c r="E172" s="8" t="s">
        <v>1214</v>
      </c>
      <c r="F172" s="8" t="s">
        <v>1215</v>
      </c>
      <c r="G172" s="6" t="s">
        <v>37</v>
      </c>
      <c r="H172" s="6" t="s">
        <v>38</v>
      </c>
      <c r="I172" s="8" t="s">
        <v>62</v>
      </c>
      <c r="J172" s="9">
        <v>1</v>
      </c>
      <c r="K172" s="9">
        <v>605</v>
      </c>
      <c r="L172" s="9">
        <v>2021</v>
      </c>
      <c r="M172" s="8" t="s">
        <v>1234</v>
      </c>
      <c r="N172" s="8" t="s">
        <v>41</v>
      </c>
      <c r="O172" s="8" t="s">
        <v>64</v>
      </c>
      <c r="P172" s="6" t="s">
        <v>65</v>
      </c>
      <c r="Q172" s="8" t="s">
        <v>66</v>
      </c>
      <c r="R172" s="10" t="s">
        <v>1235</v>
      </c>
      <c r="S172" s="11" t="s">
        <v>1236</v>
      </c>
      <c r="T172" s="6" t="s">
        <v>89</v>
      </c>
      <c r="U172" s="28" t="str">
        <f>HYPERLINK("https://media.infra-m.ru/1218/1218449/cover/1218449.jpg", "Обложка")</f>
        <v>Обложка</v>
      </c>
      <c r="V172" s="28" t="str">
        <f>HYPERLINK("https://znanium.com/catalog/product/1218449", "Ознакомиться")</f>
        <v>Ознакомиться</v>
      </c>
      <c r="W172" s="8" t="s">
        <v>1219</v>
      </c>
      <c r="X172" s="6"/>
      <c r="Y172" s="6"/>
      <c r="Z172" s="6"/>
      <c r="AA172" s="6" t="s">
        <v>320</v>
      </c>
    </row>
    <row r="173" spans="1:27" s="4" customFormat="1" ht="51.95" customHeight="1">
      <c r="A173" s="5">
        <v>0</v>
      </c>
      <c r="B173" s="6" t="s">
        <v>1237</v>
      </c>
      <c r="C173" s="7">
        <v>1540</v>
      </c>
      <c r="D173" s="8" t="s">
        <v>1238</v>
      </c>
      <c r="E173" s="8" t="s">
        <v>1239</v>
      </c>
      <c r="F173" s="8" t="s">
        <v>1240</v>
      </c>
      <c r="G173" s="6" t="s">
        <v>37</v>
      </c>
      <c r="H173" s="6" t="s">
        <v>38</v>
      </c>
      <c r="I173" s="8" t="s">
        <v>1241</v>
      </c>
      <c r="J173" s="9">
        <v>1</v>
      </c>
      <c r="K173" s="9">
        <v>336</v>
      </c>
      <c r="L173" s="9">
        <v>2023</v>
      </c>
      <c r="M173" s="8" t="s">
        <v>1242</v>
      </c>
      <c r="N173" s="8" t="s">
        <v>41</v>
      </c>
      <c r="O173" s="8" t="s">
        <v>64</v>
      </c>
      <c r="P173" s="6" t="s">
        <v>1243</v>
      </c>
      <c r="Q173" s="8" t="s">
        <v>66</v>
      </c>
      <c r="R173" s="10" t="s">
        <v>1244</v>
      </c>
      <c r="S173" s="11"/>
      <c r="T173" s="6" t="s">
        <v>89</v>
      </c>
      <c r="U173" s="28" t="str">
        <f>HYPERLINK("https://media.infra-m.ru/1976/1976191/cover/1976191.jpg", "Обложка")</f>
        <v>Обложка</v>
      </c>
      <c r="V173" s="28" t="str">
        <f>HYPERLINK("https://znanium.com/catalog/product/1976191", "Ознакомиться")</f>
        <v>Ознакомиться</v>
      </c>
      <c r="W173" s="8" t="s">
        <v>1245</v>
      </c>
      <c r="X173" s="6"/>
      <c r="Y173" s="6"/>
      <c r="Z173" s="6"/>
      <c r="AA173" s="6" t="s">
        <v>70</v>
      </c>
    </row>
    <row r="174" spans="1:27" s="4" customFormat="1" ht="42" customHeight="1">
      <c r="A174" s="5">
        <v>0</v>
      </c>
      <c r="B174" s="6" t="s">
        <v>1246</v>
      </c>
      <c r="C174" s="7">
        <v>1090</v>
      </c>
      <c r="D174" s="8" t="s">
        <v>1247</v>
      </c>
      <c r="E174" s="8" t="s">
        <v>1248</v>
      </c>
      <c r="F174" s="8" t="s">
        <v>1249</v>
      </c>
      <c r="G174" s="6" t="s">
        <v>37</v>
      </c>
      <c r="H174" s="6" t="s">
        <v>38</v>
      </c>
      <c r="I174" s="8" t="s">
        <v>39</v>
      </c>
      <c r="J174" s="9">
        <v>1</v>
      </c>
      <c r="K174" s="9">
        <v>243</v>
      </c>
      <c r="L174" s="9">
        <v>2023</v>
      </c>
      <c r="M174" s="8" t="s">
        <v>1250</v>
      </c>
      <c r="N174" s="8" t="s">
        <v>41</v>
      </c>
      <c r="O174" s="8" t="s">
        <v>64</v>
      </c>
      <c r="P174" s="6" t="s">
        <v>43</v>
      </c>
      <c r="Q174" s="8" t="s">
        <v>44</v>
      </c>
      <c r="R174" s="10" t="s">
        <v>1251</v>
      </c>
      <c r="S174" s="11"/>
      <c r="T174" s="6"/>
      <c r="U174" s="28" t="str">
        <f>HYPERLINK("https://media.infra-m.ru/1928/1928403/cover/1928403.jpg", "Обложка")</f>
        <v>Обложка</v>
      </c>
      <c r="V174" s="28" t="str">
        <f>HYPERLINK("https://znanium.com/catalog/product/1928403", "Ознакомиться")</f>
        <v>Ознакомиться</v>
      </c>
      <c r="W174" s="8" t="s">
        <v>1252</v>
      </c>
      <c r="X174" s="6"/>
      <c r="Y174" s="6"/>
      <c r="Z174" s="6"/>
      <c r="AA174" s="6" t="s">
        <v>193</v>
      </c>
    </row>
    <row r="175" spans="1:27" s="4" customFormat="1" ht="44.1" customHeight="1">
      <c r="A175" s="5">
        <v>0</v>
      </c>
      <c r="B175" s="6" t="s">
        <v>1253</v>
      </c>
      <c r="C175" s="13">
        <v>600</v>
      </c>
      <c r="D175" s="8" t="s">
        <v>1254</v>
      </c>
      <c r="E175" s="8" t="s">
        <v>1255</v>
      </c>
      <c r="F175" s="8" t="s">
        <v>1256</v>
      </c>
      <c r="G175" s="6" t="s">
        <v>52</v>
      </c>
      <c r="H175" s="6" t="s">
        <v>38</v>
      </c>
      <c r="I175" s="8" t="s">
        <v>39</v>
      </c>
      <c r="J175" s="9">
        <v>1</v>
      </c>
      <c r="K175" s="9">
        <v>132</v>
      </c>
      <c r="L175" s="9">
        <v>2023</v>
      </c>
      <c r="M175" s="8" t="s">
        <v>1257</v>
      </c>
      <c r="N175" s="8" t="s">
        <v>41</v>
      </c>
      <c r="O175" s="8" t="s">
        <v>54</v>
      </c>
      <c r="P175" s="6" t="s">
        <v>43</v>
      </c>
      <c r="Q175" s="8" t="s">
        <v>44</v>
      </c>
      <c r="R175" s="10" t="s">
        <v>1258</v>
      </c>
      <c r="S175" s="11"/>
      <c r="T175" s="6"/>
      <c r="U175" s="28" t="str">
        <f>HYPERLINK("https://media.infra-m.ru/1937/1937955/cover/1937955.jpg", "Обложка")</f>
        <v>Обложка</v>
      </c>
      <c r="V175" s="28" t="str">
        <f>HYPERLINK("https://znanium.com/catalog/product/1937955", "Ознакомиться")</f>
        <v>Ознакомиться</v>
      </c>
      <c r="W175" s="8" t="s">
        <v>1259</v>
      </c>
      <c r="X175" s="6"/>
      <c r="Y175" s="6"/>
      <c r="Z175" s="6"/>
      <c r="AA175" s="6" t="s">
        <v>91</v>
      </c>
    </row>
    <row r="176" spans="1:27" s="4" customFormat="1" ht="51.95" customHeight="1">
      <c r="A176" s="5">
        <v>0</v>
      </c>
      <c r="B176" s="6" t="s">
        <v>1260</v>
      </c>
      <c r="C176" s="13">
        <v>574.9</v>
      </c>
      <c r="D176" s="8" t="s">
        <v>1261</v>
      </c>
      <c r="E176" s="8" t="s">
        <v>1262</v>
      </c>
      <c r="F176" s="8" t="s">
        <v>1263</v>
      </c>
      <c r="G176" s="6" t="s">
        <v>52</v>
      </c>
      <c r="H176" s="6" t="s">
        <v>207</v>
      </c>
      <c r="I176" s="8" t="s">
        <v>62</v>
      </c>
      <c r="J176" s="9">
        <v>1</v>
      </c>
      <c r="K176" s="9">
        <v>127</v>
      </c>
      <c r="L176" s="9">
        <v>2023</v>
      </c>
      <c r="M176" s="8" t="s">
        <v>1264</v>
      </c>
      <c r="N176" s="8" t="s">
        <v>41</v>
      </c>
      <c r="O176" s="8" t="s">
        <v>64</v>
      </c>
      <c r="P176" s="6" t="s">
        <v>65</v>
      </c>
      <c r="Q176" s="8" t="s">
        <v>66</v>
      </c>
      <c r="R176" s="10" t="s">
        <v>1265</v>
      </c>
      <c r="S176" s="11" t="s">
        <v>1266</v>
      </c>
      <c r="T176" s="6"/>
      <c r="U176" s="28" t="str">
        <f>HYPERLINK("https://media.infra-m.ru/2044/2044335/cover/2044335.jpg", "Обложка")</f>
        <v>Обложка</v>
      </c>
      <c r="V176" s="28" t="str">
        <f>HYPERLINK("https://znanium.com/catalog/product/2123404", "Ознакомиться")</f>
        <v>Ознакомиться</v>
      </c>
      <c r="W176" s="8" t="s">
        <v>1267</v>
      </c>
      <c r="X176" s="6"/>
      <c r="Y176" s="6"/>
      <c r="Z176" s="6"/>
      <c r="AA176" s="6" t="s">
        <v>1268</v>
      </c>
    </row>
    <row r="177" spans="1:27" s="4" customFormat="1" ht="51.95" customHeight="1">
      <c r="A177" s="5">
        <v>0</v>
      </c>
      <c r="B177" s="6" t="s">
        <v>1269</v>
      </c>
      <c r="C177" s="13">
        <v>264.89999999999998</v>
      </c>
      <c r="D177" s="8" t="s">
        <v>1270</v>
      </c>
      <c r="E177" s="8" t="s">
        <v>1271</v>
      </c>
      <c r="F177" s="8" t="s">
        <v>1272</v>
      </c>
      <c r="G177" s="6" t="s">
        <v>52</v>
      </c>
      <c r="H177" s="6" t="s">
        <v>207</v>
      </c>
      <c r="I177" s="8" t="s">
        <v>62</v>
      </c>
      <c r="J177" s="9">
        <v>1</v>
      </c>
      <c r="K177" s="9">
        <v>88</v>
      </c>
      <c r="L177" s="9">
        <v>2019</v>
      </c>
      <c r="M177" s="8" t="s">
        <v>1273</v>
      </c>
      <c r="N177" s="8" t="s">
        <v>41</v>
      </c>
      <c r="O177" s="8" t="s">
        <v>64</v>
      </c>
      <c r="P177" s="6" t="s">
        <v>65</v>
      </c>
      <c r="Q177" s="8" t="s">
        <v>66</v>
      </c>
      <c r="R177" s="10" t="s">
        <v>1265</v>
      </c>
      <c r="S177" s="11"/>
      <c r="T177" s="6"/>
      <c r="U177" s="28" t="str">
        <f>HYPERLINK("https://media.infra-m.ru/1002/1002753/cover/1002753.jpg", "Обложка")</f>
        <v>Обложка</v>
      </c>
      <c r="V177" s="28" t="str">
        <f>HYPERLINK("https://znanium.com/catalog/product/2123404", "Ознакомиться")</f>
        <v>Ознакомиться</v>
      </c>
      <c r="W177" s="8" t="s">
        <v>1267</v>
      </c>
      <c r="X177" s="6"/>
      <c r="Y177" s="6"/>
      <c r="Z177" s="6"/>
      <c r="AA177" s="6" t="s">
        <v>161</v>
      </c>
    </row>
    <row r="178" spans="1:27" s="4" customFormat="1" ht="42" customHeight="1">
      <c r="A178" s="5">
        <v>0</v>
      </c>
      <c r="B178" s="6" t="s">
        <v>1274</v>
      </c>
      <c r="C178" s="7">
        <v>1680</v>
      </c>
      <c r="D178" s="8" t="s">
        <v>1275</v>
      </c>
      <c r="E178" s="8" t="s">
        <v>1276</v>
      </c>
      <c r="F178" s="8" t="s">
        <v>1277</v>
      </c>
      <c r="G178" s="6" t="s">
        <v>121</v>
      </c>
      <c r="H178" s="6" t="s">
        <v>38</v>
      </c>
      <c r="I178" s="8" t="s">
        <v>1278</v>
      </c>
      <c r="J178" s="9">
        <v>1</v>
      </c>
      <c r="K178" s="9">
        <v>344</v>
      </c>
      <c r="L178" s="9">
        <v>2023</v>
      </c>
      <c r="M178" s="8" t="s">
        <v>1279</v>
      </c>
      <c r="N178" s="8" t="s">
        <v>41</v>
      </c>
      <c r="O178" s="8" t="s">
        <v>54</v>
      </c>
      <c r="P178" s="6" t="s">
        <v>65</v>
      </c>
      <c r="Q178" s="8" t="s">
        <v>66</v>
      </c>
      <c r="R178" s="10" t="s">
        <v>1280</v>
      </c>
      <c r="S178" s="11"/>
      <c r="T178" s="6"/>
      <c r="U178" s="28" t="str">
        <f>HYPERLINK("https://media.infra-m.ru/1882/1882574/cover/1882574.jpg", "Обложка")</f>
        <v>Обложка</v>
      </c>
      <c r="V178" s="28" t="str">
        <f>HYPERLINK("https://znanium.com/catalog/product/1882574", "Ознакомиться")</f>
        <v>Ознакомиться</v>
      </c>
      <c r="W178" s="8" t="s">
        <v>1001</v>
      </c>
      <c r="X178" s="6" t="s">
        <v>386</v>
      </c>
      <c r="Y178" s="6"/>
      <c r="Z178" s="6"/>
      <c r="AA178" s="6" t="s">
        <v>574</v>
      </c>
    </row>
    <row r="179" spans="1:27" s="4" customFormat="1" ht="51.95" customHeight="1">
      <c r="A179" s="5">
        <v>0</v>
      </c>
      <c r="B179" s="6" t="s">
        <v>1281</v>
      </c>
      <c r="C179" s="7">
        <v>1270</v>
      </c>
      <c r="D179" s="8" t="s">
        <v>1282</v>
      </c>
      <c r="E179" s="8" t="s">
        <v>1283</v>
      </c>
      <c r="F179" s="8" t="s">
        <v>1284</v>
      </c>
      <c r="G179" s="6" t="s">
        <v>37</v>
      </c>
      <c r="H179" s="6" t="s">
        <v>207</v>
      </c>
      <c r="I179" s="8" t="s">
        <v>187</v>
      </c>
      <c r="J179" s="9">
        <v>1</v>
      </c>
      <c r="K179" s="9">
        <v>280</v>
      </c>
      <c r="L179" s="9">
        <v>2023</v>
      </c>
      <c r="M179" s="8" t="s">
        <v>1285</v>
      </c>
      <c r="N179" s="8" t="s">
        <v>41</v>
      </c>
      <c r="O179" s="8" t="s">
        <v>64</v>
      </c>
      <c r="P179" s="6" t="s">
        <v>85</v>
      </c>
      <c r="Q179" s="8" t="s">
        <v>189</v>
      </c>
      <c r="R179" s="10" t="s">
        <v>1286</v>
      </c>
      <c r="S179" s="11" t="s">
        <v>1287</v>
      </c>
      <c r="T179" s="6"/>
      <c r="U179" s="28" t="str">
        <f>HYPERLINK("https://media.infra-m.ru/1971/1971052/cover/1971052.jpg", "Обложка")</f>
        <v>Обложка</v>
      </c>
      <c r="V179" s="28" t="str">
        <f>HYPERLINK("https://znanium.com/catalog/product/1971052", "Ознакомиться")</f>
        <v>Ознакомиться</v>
      </c>
      <c r="W179" s="8" t="s">
        <v>408</v>
      </c>
      <c r="X179" s="6"/>
      <c r="Y179" s="6"/>
      <c r="Z179" s="6" t="s">
        <v>192</v>
      </c>
      <c r="AA179" s="6" t="s">
        <v>401</v>
      </c>
    </row>
    <row r="180" spans="1:27" s="4" customFormat="1" ht="51.95" customHeight="1">
      <c r="A180" s="5">
        <v>0</v>
      </c>
      <c r="B180" s="6" t="s">
        <v>1288</v>
      </c>
      <c r="C180" s="7">
        <v>1130</v>
      </c>
      <c r="D180" s="8" t="s">
        <v>1289</v>
      </c>
      <c r="E180" s="8" t="s">
        <v>1290</v>
      </c>
      <c r="F180" s="8" t="s">
        <v>1291</v>
      </c>
      <c r="G180" s="6" t="s">
        <v>37</v>
      </c>
      <c r="H180" s="6" t="s">
        <v>38</v>
      </c>
      <c r="I180" s="8" t="s">
        <v>1083</v>
      </c>
      <c r="J180" s="9">
        <v>1</v>
      </c>
      <c r="K180" s="9">
        <v>245</v>
      </c>
      <c r="L180" s="9">
        <v>2023</v>
      </c>
      <c r="M180" s="8" t="s">
        <v>1292</v>
      </c>
      <c r="N180" s="8" t="s">
        <v>41</v>
      </c>
      <c r="O180" s="8" t="s">
        <v>42</v>
      </c>
      <c r="P180" s="6" t="s">
        <v>1293</v>
      </c>
      <c r="Q180" s="8" t="s">
        <v>1086</v>
      </c>
      <c r="R180" s="10" t="s">
        <v>1294</v>
      </c>
      <c r="S180" s="11" t="s">
        <v>1295</v>
      </c>
      <c r="T180" s="6"/>
      <c r="U180" s="28" t="str">
        <f>HYPERLINK("https://media.infra-m.ru/1913/1913246/cover/1913246.jpg", "Обложка")</f>
        <v>Обложка</v>
      </c>
      <c r="V180" s="28" t="str">
        <f>HYPERLINK("https://znanium.com/catalog/product/1913246", "Ознакомиться")</f>
        <v>Ознакомиться</v>
      </c>
      <c r="W180" s="8" t="s">
        <v>1296</v>
      </c>
      <c r="X180" s="6"/>
      <c r="Y180" s="6"/>
      <c r="Z180" s="6"/>
      <c r="AA180" s="6" t="s">
        <v>1297</v>
      </c>
    </row>
    <row r="181" spans="1:27" s="4" customFormat="1" ht="51.95" customHeight="1">
      <c r="A181" s="5">
        <v>0</v>
      </c>
      <c r="B181" s="6" t="s">
        <v>1298</v>
      </c>
      <c r="C181" s="7">
        <v>1180</v>
      </c>
      <c r="D181" s="8" t="s">
        <v>1299</v>
      </c>
      <c r="E181" s="8" t="s">
        <v>1300</v>
      </c>
      <c r="F181" s="8" t="s">
        <v>1301</v>
      </c>
      <c r="G181" s="6" t="s">
        <v>37</v>
      </c>
      <c r="H181" s="6" t="s">
        <v>38</v>
      </c>
      <c r="I181" s="8" t="s">
        <v>1083</v>
      </c>
      <c r="J181" s="9">
        <v>1</v>
      </c>
      <c r="K181" s="9">
        <v>318</v>
      </c>
      <c r="L181" s="9">
        <v>2021</v>
      </c>
      <c r="M181" s="8" t="s">
        <v>1302</v>
      </c>
      <c r="N181" s="8" t="s">
        <v>41</v>
      </c>
      <c r="O181" s="8" t="s">
        <v>42</v>
      </c>
      <c r="P181" s="6" t="s">
        <v>1293</v>
      </c>
      <c r="Q181" s="8" t="s">
        <v>1086</v>
      </c>
      <c r="R181" s="10" t="s">
        <v>1294</v>
      </c>
      <c r="S181" s="11" t="s">
        <v>1295</v>
      </c>
      <c r="T181" s="6"/>
      <c r="U181" s="28" t="str">
        <f>HYPERLINK("https://media.infra-m.ru/1601/1601510/cover/1601510.jpg", "Обложка")</f>
        <v>Обложка</v>
      </c>
      <c r="V181" s="28" t="str">
        <f>HYPERLINK("https://znanium.com/catalog/product/1913246", "Ознакомиться")</f>
        <v>Ознакомиться</v>
      </c>
      <c r="W181" s="8" t="s">
        <v>1296</v>
      </c>
      <c r="X181" s="6"/>
      <c r="Y181" s="6"/>
      <c r="Z181" s="6"/>
      <c r="AA181" s="6" t="s">
        <v>1303</v>
      </c>
    </row>
    <row r="182" spans="1:27" s="4" customFormat="1" ht="51.95" customHeight="1">
      <c r="A182" s="5">
        <v>0</v>
      </c>
      <c r="B182" s="6" t="s">
        <v>1304</v>
      </c>
      <c r="C182" s="13">
        <v>574</v>
      </c>
      <c r="D182" s="8" t="s">
        <v>1305</v>
      </c>
      <c r="E182" s="8" t="s">
        <v>1306</v>
      </c>
      <c r="F182" s="8" t="s">
        <v>1307</v>
      </c>
      <c r="G182" s="6" t="s">
        <v>52</v>
      </c>
      <c r="H182" s="6" t="s">
        <v>207</v>
      </c>
      <c r="I182" s="8" t="s">
        <v>130</v>
      </c>
      <c r="J182" s="9">
        <v>1</v>
      </c>
      <c r="K182" s="9">
        <v>112</v>
      </c>
      <c r="L182" s="9">
        <v>2024</v>
      </c>
      <c r="M182" s="8" t="s">
        <v>1308</v>
      </c>
      <c r="N182" s="8" t="s">
        <v>41</v>
      </c>
      <c r="O182" s="8" t="s">
        <v>42</v>
      </c>
      <c r="P182" s="6" t="s">
        <v>65</v>
      </c>
      <c r="Q182" s="8" t="s">
        <v>66</v>
      </c>
      <c r="R182" s="10" t="s">
        <v>1309</v>
      </c>
      <c r="S182" s="11" t="s">
        <v>1310</v>
      </c>
      <c r="T182" s="6"/>
      <c r="U182" s="28" t="str">
        <f>HYPERLINK("https://media.infra-m.ru/2083/2083865/cover/2083865.jpg", "Обложка")</f>
        <v>Обложка</v>
      </c>
      <c r="V182" s="12"/>
      <c r="W182" s="8" t="s">
        <v>1001</v>
      </c>
      <c r="X182" s="6"/>
      <c r="Y182" s="6"/>
      <c r="Z182" s="6"/>
      <c r="AA182" s="6" t="s">
        <v>47</v>
      </c>
    </row>
    <row r="183" spans="1:27" s="4" customFormat="1" ht="44.1" customHeight="1">
      <c r="A183" s="5">
        <v>0</v>
      </c>
      <c r="B183" s="6" t="s">
        <v>1311</v>
      </c>
      <c r="C183" s="13">
        <v>194.9</v>
      </c>
      <c r="D183" s="8" t="s">
        <v>1312</v>
      </c>
      <c r="E183" s="8" t="s">
        <v>1313</v>
      </c>
      <c r="F183" s="8" t="s">
        <v>1314</v>
      </c>
      <c r="G183" s="6" t="s">
        <v>52</v>
      </c>
      <c r="H183" s="6" t="s">
        <v>207</v>
      </c>
      <c r="I183" s="8"/>
      <c r="J183" s="9">
        <v>1</v>
      </c>
      <c r="K183" s="9">
        <v>56</v>
      </c>
      <c r="L183" s="9">
        <v>2020</v>
      </c>
      <c r="M183" s="8" t="s">
        <v>1315</v>
      </c>
      <c r="N183" s="8" t="s">
        <v>41</v>
      </c>
      <c r="O183" s="8" t="s">
        <v>42</v>
      </c>
      <c r="P183" s="6" t="s">
        <v>65</v>
      </c>
      <c r="Q183" s="8" t="s">
        <v>66</v>
      </c>
      <c r="R183" s="10" t="s">
        <v>1316</v>
      </c>
      <c r="S183" s="11"/>
      <c r="T183" s="6"/>
      <c r="U183" s="28" t="str">
        <f>HYPERLINK("https://media.infra-m.ru/1081/1081935/cover/1081935.jpg", "Обложка")</f>
        <v>Обложка</v>
      </c>
      <c r="V183" s="28" t="str">
        <f>HYPERLINK("https://znanium.com/catalog/product/1232491", "Ознакомиться")</f>
        <v>Ознакомиться</v>
      </c>
      <c r="W183" s="8" t="s">
        <v>1317</v>
      </c>
      <c r="X183" s="6"/>
      <c r="Y183" s="6"/>
      <c r="Z183" s="6"/>
      <c r="AA183" s="6" t="s">
        <v>57</v>
      </c>
    </row>
    <row r="184" spans="1:27" s="4" customFormat="1" ht="51.95" customHeight="1">
      <c r="A184" s="5">
        <v>0</v>
      </c>
      <c r="B184" s="6" t="s">
        <v>1318</v>
      </c>
      <c r="C184" s="13">
        <v>970</v>
      </c>
      <c r="D184" s="8" t="s">
        <v>1319</v>
      </c>
      <c r="E184" s="8" t="s">
        <v>1320</v>
      </c>
      <c r="F184" s="8" t="s">
        <v>734</v>
      </c>
      <c r="G184" s="6" t="s">
        <v>37</v>
      </c>
      <c r="H184" s="6" t="s">
        <v>38</v>
      </c>
      <c r="I184" s="8" t="s">
        <v>62</v>
      </c>
      <c r="J184" s="9">
        <v>1</v>
      </c>
      <c r="K184" s="9">
        <v>215</v>
      </c>
      <c r="L184" s="9">
        <v>2023</v>
      </c>
      <c r="M184" s="8" t="s">
        <v>1321</v>
      </c>
      <c r="N184" s="8" t="s">
        <v>41</v>
      </c>
      <c r="O184" s="8" t="s">
        <v>64</v>
      </c>
      <c r="P184" s="6" t="s">
        <v>65</v>
      </c>
      <c r="Q184" s="8" t="s">
        <v>66</v>
      </c>
      <c r="R184" s="10" t="s">
        <v>1322</v>
      </c>
      <c r="S184" s="11" t="s">
        <v>1323</v>
      </c>
      <c r="T184" s="6"/>
      <c r="U184" s="28" t="str">
        <f>HYPERLINK("https://media.infra-m.ru/1950/1950306/cover/1950306.jpg", "Обложка")</f>
        <v>Обложка</v>
      </c>
      <c r="V184" s="28" t="str">
        <f>HYPERLINK("https://znanium.com/catalog/product/1950306", "Ознакомиться")</f>
        <v>Ознакомиться</v>
      </c>
      <c r="W184" s="8" t="s">
        <v>408</v>
      </c>
      <c r="X184" s="6"/>
      <c r="Y184" s="6"/>
      <c r="Z184" s="6"/>
      <c r="AA184" s="6" t="s">
        <v>1324</v>
      </c>
    </row>
    <row r="185" spans="1:27" s="4" customFormat="1" ht="51.95" customHeight="1">
      <c r="A185" s="5">
        <v>0</v>
      </c>
      <c r="B185" s="6" t="s">
        <v>1325</v>
      </c>
      <c r="C185" s="13">
        <v>970</v>
      </c>
      <c r="D185" s="8" t="s">
        <v>1326</v>
      </c>
      <c r="E185" s="8" t="s">
        <v>1320</v>
      </c>
      <c r="F185" s="8" t="s">
        <v>734</v>
      </c>
      <c r="G185" s="6" t="s">
        <v>37</v>
      </c>
      <c r="H185" s="6" t="s">
        <v>38</v>
      </c>
      <c r="I185" s="8" t="s">
        <v>187</v>
      </c>
      <c r="J185" s="9">
        <v>1</v>
      </c>
      <c r="K185" s="9">
        <v>215</v>
      </c>
      <c r="L185" s="9">
        <v>2023</v>
      </c>
      <c r="M185" s="8" t="s">
        <v>1327</v>
      </c>
      <c r="N185" s="8" t="s">
        <v>41</v>
      </c>
      <c r="O185" s="8" t="s">
        <v>64</v>
      </c>
      <c r="P185" s="6" t="s">
        <v>65</v>
      </c>
      <c r="Q185" s="8" t="s">
        <v>189</v>
      </c>
      <c r="R185" s="10" t="s">
        <v>1328</v>
      </c>
      <c r="S185" s="11" t="s">
        <v>1329</v>
      </c>
      <c r="T185" s="6"/>
      <c r="U185" s="28" t="str">
        <f>HYPERLINK("https://media.infra-m.ru/1983/1983267/cover/1983267.jpg", "Обложка")</f>
        <v>Обложка</v>
      </c>
      <c r="V185" s="28" t="str">
        <f>HYPERLINK("https://znanium.com/catalog/product/1983267", "Ознакомиться")</f>
        <v>Ознакомиться</v>
      </c>
      <c r="W185" s="8" t="s">
        <v>408</v>
      </c>
      <c r="X185" s="6"/>
      <c r="Y185" s="6"/>
      <c r="Z185" s="6" t="s">
        <v>192</v>
      </c>
      <c r="AA185" s="6" t="s">
        <v>1330</v>
      </c>
    </row>
    <row r="186" spans="1:27" s="4" customFormat="1" ht="42" customHeight="1">
      <c r="A186" s="5">
        <v>0</v>
      </c>
      <c r="B186" s="6" t="s">
        <v>1331</v>
      </c>
      <c r="C186" s="7">
        <v>1100</v>
      </c>
      <c r="D186" s="8" t="s">
        <v>1332</v>
      </c>
      <c r="E186" s="8" t="s">
        <v>1333</v>
      </c>
      <c r="F186" s="8" t="s">
        <v>1334</v>
      </c>
      <c r="G186" s="6" t="s">
        <v>121</v>
      </c>
      <c r="H186" s="6" t="s">
        <v>38</v>
      </c>
      <c r="I186" s="8" t="s">
        <v>62</v>
      </c>
      <c r="J186" s="9">
        <v>1</v>
      </c>
      <c r="K186" s="9">
        <v>229</v>
      </c>
      <c r="L186" s="9">
        <v>2022</v>
      </c>
      <c r="M186" s="8" t="s">
        <v>1335</v>
      </c>
      <c r="N186" s="8" t="s">
        <v>41</v>
      </c>
      <c r="O186" s="8" t="s">
        <v>64</v>
      </c>
      <c r="P186" s="6" t="s">
        <v>65</v>
      </c>
      <c r="Q186" s="8" t="s">
        <v>132</v>
      </c>
      <c r="R186" s="10" t="s">
        <v>1336</v>
      </c>
      <c r="S186" s="11"/>
      <c r="T186" s="6"/>
      <c r="U186" s="28" t="str">
        <f>HYPERLINK("https://media.infra-m.ru/1842/1842521/cover/1842521.jpg", "Обложка")</f>
        <v>Обложка</v>
      </c>
      <c r="V186" s="28" t="str">
        <f>HYPERLINK("https://znanium.com/catalog/product/1842521", "Ознакомиться")</f>
        <v>Ознакомиться</v>
      </c>
      <c r="W186" s="8" t="s">
        <v>753</v>
      </c>
      <c r="X186" s="6" t="s">
        <v>1337</v>
      </c>
      <c r="Y186" s="6"/>
      <c r="Z186" s="6"/>
      <c r="AA186" s="6" t="s">
        <v>530</v>
      </c>
    </row>
    <row r="187" spans="1:27" s="4" customFormat="1" ht="42" customHeight="1">
      <c r="A187" s="5">
        <v>0</v>
      </c>
      <c r="B187" s="6" t="s">
        <v>1338</v>
      </c>
      <c r="C187" s="7">
        <v>1020</v>
      </c>
      <c r="D187" s="8" t="s">
        <v>1339</v>
      </c>
      <c r="E187" s="8" t="s">
        <v>1340</v>
      </c>
      <c r="F187" s="8" t="s">
        <v>831</v>
      </c>
      <c r="G187" s="6" t="s">
        <v>52</v>
      </c>
      <c r="H187" s="6" t="s">
        <v>38</v>
      </c>
      <c r="I187" s="8" t="s">
        <v>39</v>
      </c>
      <c r="J187" s="9">
        <v>1</v>
      </c>
      <c r="K187" s="9">
        <v>175</v>
      </c>
      <c r="L187" s="9">
        <v>2023</v>
      </c>
      <c r="M187" s="8" t="s">
        <v>1341</v>
      </c>
      <c r="N187" s="8" t="s">
        <v>41</v>
      </c>
      <c r="O187" s="8" t="s">
        <v>54</v>
      </c>
      <c r="P187" s="6" t="s">
        <v>43</v>
      </c>
      <c r="Q187" s="8" t="s">
        <v>132</v>
      </c>
      <c r="R187" s="10" t="s">
        <v>1342</v>
      </c>
      <c r="S187" s="11"/>
      <c r="T187" s="6"/>
      <c r="U187" s="28" t="str">
        <f>HYPERLINK("https://media.infra-m.ru/1925/1925537/cover/1925537.jpg", "Обложка")</f>
        <v>Обложка</v>
      </c>
      <c r="V187" s="28" t="str">
        <f>HYPERLINK("https://znanium.com/catalog/product/1925537", "Ознакомиться")</f>
        <v>Ознакомиться</v>
      </c>
      <c r="W187" s="8" t="s">
        <v>834</v>
      </c>
      <c r="X187" s="6"/>
      <c r="Y187" s="6"/>
      <c r="Z187" s="6"/>
      <c r="AA187" s="6" t="s">
        <v>320</v>
      </c>
    </row>
    <row r="188" spans="1:27" s="4" customFormat="1" ht="44.1" customHeight="1">
      <c r="A188" s="5">
        <v>0</v>
      </c>
      <c r="B188" s="6" t="s">
        <v>1343</v>
      </c>
      <c r="C188" s="13">
        <v>604.9</v>
      </c>
      <c r="D188" s="8" t="s">
        <v>1344</v>
      </c>
      <c r="E188" s="8" t="s">
        <v>1345</v>
      </c>
      <c r="F188" s="8" t="s">
        <v>1346</v>
      </c>
      <c r="G188" s="6" t="s">
        <v>121</v>
      </c>
      <c r="H188" s="6" t="s">
        <v>38</v>
      </c>
      <c r="I188" s="8" t="s">
        <v>1347</v>
      </c>
      <c r="J188" s="9">
        <v>1</v>
      </c>
      <c r="K188" s="9">
        <v>135</v>
      </c>
      <c r="L188" s="9">
        <v>2023</v>
      </c>
      <c r="M188" s="8" t="s">
        <v>1348</v>
      </c>
      <c r="N188" s="8" t="s">
        <v>41</v>
      </c>
      <c r="O188" s="8" t="s">
        <v>64</v>
      </c>
      <c r="P188" s="6" t="s">
        <v>43</v>
      </c>
      <c r="Q188" s="8" t="s">
        <v>44</v>
      </c>
      <c r="R188" s="10" t="s">
        <v>1349</v>
      </c>
      <c r="S188" s="11"/>
      <c r="T188" s="6"/>
      <c r="U188" s="28" t="str">
        <f>HYPERLINK("https://media.infra-m.ru/1927/1927343/cover/1927343.jpg", "Обложка")</f>
        <v>Обложка</v>
      </c>
      <c r="V188" s="28" t="str">
        <f>HYPERLINK("https://znanium.com/catalog/product/979330", "Ознакомиться")</f>
        <v>Ознакомиться</v>
      </c>
      <c r="W188" s="8" t="s">
        <v>590</v>
      </c>
      <c r="X188" s="6"/>
      <c r="Y188" s="6"/>
      <c r="Z188" s="6"/>
      <c r="AA188" s="6" t="s">
        <v>193</v>
      </c>
    </row>
    <row r="189" spans="1:27" s="4" customFormat="1" ht="51.95" customHeight="1">
      <c r="A189" s="5">
        <v>0</v>
      </c>
      <c r="B189" s="6" t="s">
        <v>1350</v>
      </c>
      <c r="C189" s="7">
        <v>1104.9000000000001</v>
      </c>
      <c r="D189" s="8" t="s">
        <v>1351</v>
      </c>
      <c r="E189" s="8" t="s">
        <v>1352</v>
      </c>
      <c r="F189" s="8" t="s">
        <v>1353</v>
      </c>
      <c r="G189" s="6" t="s">
        <v>121</v>
      </c>
      <c r="H189" s="6" t="s">
        <v>38</v>
      </c>
      <c r="I189" s="8" t="s">
        <v>62</v>
      </c>
      <c r="J189" s="9">
        <v>1</v>
      </c>
      <c r="K189" s="9">
        <v>324</v>
      </c>
      <c r="L189" s="9">
        <v>2020</v>
      </c>
      <c r="M189" s="8" t="s">
        <v>1354</v>
      </c>
      <c r="N189" s="8" t="s">
        <v>41</v>
      </c>
      <c r="O189" s="8" t="s">
        <v>64</v>
      </c>
      <c r="P189" s="6" t="s">
        <v>85</v>
      </c>
      <c r="Q189" s="8" t="s">
        <v>66</v>
      </c>
      <c r="R189" s="10" t="s">
        <v>1355</v>
      </c>
      <c r="S189" s="11" t="s">
        <v>1356</v>
      </c>
      <c r="T189" s="6" t="s">
        <v>89</v>
      </c>
      <c r="U189" s="28" t="str">
        <f>HYPERLINK("https://media.infra-m.ru/1052/1052193/cover/1052193.jpg", "Обложка")</f>
        <v>Обложка</v>
      </c>
      <c r="V189" s="28" t="str">
        <f>HYPERLINK("https://znanium.com/catalog/product/1922319", "Ознакомиться")</f>
        <v>Ознакомиться</v>
      </c>
      <c r="W189" s="8" t="s">
        <v>730</v>
      </c>
      <c r="X189" s="6"/>
      <c r="Y189" s="6"/>
      <c r="Z189" s="6"/>
      <c r="AA189" s="6" t="s">
        <v>1357</v>
      </c>
    </row>
    <row r="190" spans="1:27" s="4" customFormat="1" ht="51.95" customHeight="1">
      <c r="A190" s="5">
        <v>0</v>
      </c>
      <c r="B190" s="6" t="s">
        <v>1358</v>
      </c>
      <c r="C190" s="7">
        <v>1460</v>
      </c>
      <c r="D190" s="8" t="s">
        <v>1359</v>
      </c>
      <c r="E190" s="8" t="s">
        <v>1352</v>
      </c>
      <c r="F190" s="8" t="s">
        <v>1353</v>
      </c>
      <c r="G190" s="6" t="s">
        <v>37</v>
      </c>
      <c r="H190" s="6" t="s">
        <v>38</v>
      </c>
      <c r="I190" s="8" t="s">
        <v>187</v>
      </c>
      <c r="J190" s="9">
        <v>1</v>
      </c>
      <c r="K190" s="9">
        <v>324</v>
      </c>
      <c r="L190" s="9">
        <v>2023</v>
      </c>
      <c r="M190" s="8" t="s">
        <v>1360</v>
      </c>
      <c r="N190" s="8" t="s">
        <v>41</v>
      </c>
      <c r="O190" s="8" t="s">
        <v>64</v>
      </c>
      <c r="P190" s="6" t="s">
        <v>85</v>
      </c>
      <c r="Q190" s="8" t="s">
        <v>189</v>
      </c>
      <c r="R190" s="10" t="s">
        <v>1361</v>
      </c>
      <c r="S190" s="11" t="s">
        <v>1362</v>
      </c>
      <c r="T190" s="6" t="s">
        <v>89</v>
      </c>
      <c r="U190" s="28" t="str">
        <f>HYPERLINK("https://media.infra-m.ru/1922/1922303/cover/1922303.jpg", "Обложка")</f>
        <v>Обложка</v>
      </c>
      <c r="V190" s="28" t="str">
        <f>HYPERLINK("https://znanium.com/catalog/product/1922303", "Ознакомиться")</f>
        <v>Ознакомиться</v>
      </c>
      <c r="W190" s="8" t="s">
        <v>730</v>
      </c>
      <c r="X190" s="6"/>
      <c r="Y190" s="6"/>
      <c r="Z190" s="6" t="s">
        <v>192</v>
      </c>
      <c r="AA190" s="6" t="s">
        <v>872</v>
      </c>
    </row>
    <row r="191" spans="1:27" s="4" customFormat="1" ht="51.95" customHeight="1">
      <c r="A191" s="5">
        <v>0</v>
      </c>
      <c r="B191" s="6" t="s">
        <v>1363</v>
      </c>
      <c r="C191" s="7">
        <v>1494</v>
      </c>
      <c r="D191" s="8" t="s">
        <v>1364</v>
      </c>
      <c r="E191" s="8" t="s">
        <v>1365</v>
      </c>
      <c r="F191" s="8" t="s">
        <v>1353</v>
      </c>
      <c r="G191" s="6" t="s">
        <v>37</v>
      </c>
      <c r="H191" s="6" t="s">
        <v>38</v>
      </c>
      <c r="I191" s="8" t="s">
        <v>62</v>
      </c>
      <c r="J191" s="9">
        <v>1</v>
      </c>
      <c r="K191" s="9">
        <v>324</v>
      </c>
      <c r="L191" s="9">
        <v>2024</v>
      </c>
      <c r="M191" s="8" t="s">
        <v>1366</v>
      </c>
      <c r="N191" s="8" t="s">
        <v>41</v>
      </c>
      <c r="O191" s="8" t="s">
        <v>64</v>
      </c>
      <c r="P191" s="6" t="s">
        <v>85</v>
      </c>
      <c r="Q191" s="8" t="s">
        <v>66</v>
      </c>
      <c r="R191" s="10" t="s">
        <v>1355</v>
      </c>
      <c r="S191" s="11" t="s">
        <v>1356</v>
      </c>
      <c r="T191" s="6" t="s">
        <v>89</v>
      </c>
      <c r="U191" s="28" t="str">
        <f>HYPERLINK("https://media.infra-m.ru/2122/2122489/cover/2122489.jpg", "Обложка")</f>
        <v>Обложка</v>
      </c>
      <c r="V191" s="28" t="str">
        <f>HYPERLINK("https://znanium.com/catalog/product/1922319", "Ознакомиться")</f>
        <v>Ознакомиться</v>
      </c>
      <c r="W191" s="8" t="s">
        <v>730</v>
      </c>
      <c r="X191" s="6"/>
      <c r="Y191" s="6"/>
      <c r="Z191" s="6"/>
      <c r="AA191" s="6" t="s">
        <v>1367</v>
      </c>
    </row>
    <row r="192" spans="1:27" s="4" customFormat="1" ht="51.95" customHeight="1">
      <c r="A192" s="5">
        <v>0</v>
      </c>
      <c r="B192" s="6" t="s">
        <v>1368</v>
      </c>
      <c r="C192" s="7">
        <v>1404</v>
      </c>
      <c r="D192" s="8" t="s">
        <v>1369</v>
      </c>
      <c r="E192" s="8" t="s">
        <v>1370</v>
      </c>
      <c r="F192" s="8" t="s">
        <v>1371</v>
      </c>
      <c r="G192" s="6" t="s">
        <v>37</v>
      </c>
      <c r="H192" s="6" t="s">
        <v>38</v>
      </c>
      <c r="I192" s="8" t="s">
        <v>62</v>
      </c>
      <c r="J192" s="9">
        <v>1</v>
      </c>
      <c r="K192" s="9">
        <v>306</v>
      </c>
      <c r="L192" s="9">
        <v>2023</v>
      </c>
      <c r="M192" s="8" t="s">
        <v>1372</v>
      </c>
      <c r="N192" s="8" t="s">
        <v>41</v>
      </c>
      <c r="O192" s="8" t="s">
        <v>54</v>
      </c>
      <c r="P192" s="6" t="s">
        <v>65</v>
      </c>
      <c r="Q192" s="8" t="s">
        <v>66</v>
      </c>
      <c r="R192" s="10" t="s">
        <v>1373</v>
      </c>
      <c r="S192" s="11" t="s">
        <v>1374</v>
      </c>
      <c r="T192" s="6"/>
      <c r="U192" s="28" t="str">
        <f>HYPERLINK("https://media.infra-m.ru/2103/2103640/cover/2103640.jpg", "Обложка")</f>
        <v>Обложка</v>
      </c>
      <c r="V192" s="28" t="str">
        <f>HYPERLINK("https://znanium.com/catalog/product/1864096", "Ознакомиться")</f>
        <v>Ознакомиться</v>
      </c>
      <c r="W192" s="8" t="s">
        <v>1111</v>
      </c>
      <c r="X192" s="6"/>
      <c r="Y192" s="6"/>
      <c r="Z192" s="6"/>
      <c r="AA192" s="6" t="s">
        <v>108</v>
      </c>
    </row>
    <row r="193" spans="1:27" s="4" customFormat="1" ht="42" customHeight="1">
      <c r="A193" s="5">
        <v>0</v>
      </c>
      <c r="B193" s="6" t="s">
        <v>1375</v>
      </c>
      <c r="C193" s="13">
        <v>824.9</v>
      </c>
      <c r="D193" s="8" t="s">
        <v>1376</v>
      </c>
      <c r="E193" s="8" t="s">
        <v>1377</v>
      </c>
      <c r="F193" s="8" t="s">
        <v>1378</v>
      </c>
      <c r="G193" s="6" t="s">
        <v>52</v>
      </c>
      <c r="H193" s="6" t="s">
        <v>38</v>
      </c>
      <c r="I193" s="8" t="s">
        <v>39</v>
      </c>
      <c r="J193" s="9">
        <v>1</v>
      </c>
      <c r="K193" s="9">
        <v>162</v>
      </c>
      <c r="L193" s="9">
        <v>2023</v>
      </c>
      <c r="M193" s="8" t="s">
        <v>1379</v>
      </c>
      <c r="N193" s="8" t="s">
        <v>41</v>
      </c>
      <c r="O193" s="8" t="s">
        <v>54</v>
      </c>
      <c r="P193" s="6" t="s">
        <v>43</v>
      </c>
      <c r="Q193" s="8" t="s">
        <v>44</v>
      </c>
      <c r="R193" s="10" t="s">
        <v>1380</v>
      </c>
      <c r="S193" s="11"/>
      <c r="T193" s="6"/>
      <c r="U193" s="28" t="str">
        <f>HYPERLINK("https://media.infra-m.ru/1894/1894478/cover/1894478.jpg", "Обложка")</f>
        <v>Обложка</v>
      </c>
      <c r="V193" s="28" t="str">
        <f>HYPERLINK("https://znanium.com/catalog/product/1859642", "Ознакомиться")</f>
        <v>Ознакомиться</v>
      </c>
      <c r="W193" s="8" t="s">
        <v>1381</v>
      </c>
      <c r="X193" s="6"/>
      <c r="Y193" s="6"/>
      <c r="Z193" s="6"/>
      <c r="AA193" s="6" t="s">
        <v>78</v>
      </c>
    </row>
    <row r="194" spans="1:27" s="4" customFormat="1" ht="44.1" customHeight="1">
      <c r="A194" s="5">
        <v>0</v>
      </c>
      <c r="B194" s="6" t="s">
        <v>1382</v>
      </c>
      <c r="C194" s="7">
        <v>1310</v>
      </c>
      <c r="D194" s="8" t="s">
        <v>1383</v>
      </c>
      <c r="E194" s="8" t="s">
        <v>1384</v>
      </c>
      <c r="F194" s="8" t="s">
        <v>1385</v>
      </c>
      <c r="G194" s="6" t="s">
        <v>52</v>
      </c>
      <c r="H194" s="6" t="s">
        <v>122</v>
      </c>
      <c r="I194" s="8" t="s">
        <v>39</v>
      </c>
      <c r="J194" s="9">
        <v>1</v>
      </c>
      <c r="K194" s="9">
        <v>292</v>
      </c>
      <c r="L194" s="9">
        <v>2019</v>
      </c>
      <c r="M194" s="8" t="s">
        <v>1386</v>
      </c>
      <c r="N194" s="8" t="s">
        <v>41</v>
      </c>
      <c r="O194" s="8" t="s">
        <v>54</v>
      </c>
      <c r="P194" s="6" t="s">
        <v>43</v>
      </c>
      <c r="Q194" s="8" t="s">
        <v>86</v>
      </c>
      <c r="R194" s="10" t="s">
        <v>1387</v>
      </c>
      <c r="S194" s="11"/>
      <c r="T194" s="6"/>
      <c r="U194" s="28" t="str">
        <f>HYPERLINK("https://media.infra-m.ru/1946/1946505/cover/1946505.jpg", "Обложка")</f>
        <v>Обложка</v>
      </c>
      <c r="V194" s="28" t="str">
        <f>HYPERLINK("https://znanium.com/catalog/product/1009761", "Ознакомиться")</f>
        <v>Ознакомиться</v>
      </c>
      <c r="W194" s="8" t="s">
        <v>143</v>
      </c>
      <c r="X194" s="6"/>
      <c r="Y194" s="6"/>
      <c r="Z194" s="6"/>
      <c r="AA194" s="6" t="s">
        <v>57</v>
      </c>
    </row>
    <row r="195" spans="1:27" s="4" customFormat="1" ht="44.1" customHeight="1">
      <c r="A195" s="5">
        <v>0</v>
      </c>
      <c r="B195" s="6" t="s">
        <v>1388</v>
      </c>
      <c r="C195" s="13">
        <v>924.9</v>
      </c>
      <c r="D195" s="8" t="s">
        <v>1389</v>
      </c>
      <c r="E195" s="8" t="s">
        <v>1390</v>
      </c>
      <c r="F195" s="8" t="s">
        <v>1391</v>
      </c>
      <c r="G195" s="6" t="s">
        <v>52</v>
      </c>
      <c r="H195" s="6" t="s">
        <v>38</v>
      </c>
      <c r="I195" s="8" t="s">
        <v>39</v>
      </c>
      <c r="J195" s="9">
        <v>1</v>
      </c>
      <c r="K195" s="9">
        <v>205</v>
      </c>
      <c r="L195" s="9">
        <v>2023</v>
      </c>
      <c r="M195" s="8" t="s">
        <v>1392</v>
      </c>
      <c r="N195" s="8" t="s">
        <v>41</v>
      </c>
      <c r="O195" s="8" t="s">
        <v>64</v>
      </c>
      <c r="P195" s="6" t="s">
        <v>43</v>
      </c>
      <c r="Q195" s="8" t="s">
        <v>44</v>
      </c>
      <c r="R195" s="10" t="s">
        <v>1393</v>
      </c>
      <c r="S195" s="11"/>
      <c r="T195" s="6"/>
      <c r="U195" s="28" t="str">
        <f>HYPERLINK("https://media.infra-m.ru/2030/2030877/cover/2030877.jpg", "Обложка")</f>
        <v>Обложка</v>
      </c>
      <c r="V195" s="28" t="str">
        <f>HYPERLINK("https://znanium.com/catalog/product/990350", "Ознакомиться")</f>
        <v>Ознакомиться</v>
      </c>
      <c r="W195" s="8" t="s">
        <v>1394</v>
      </c>
      <c r="X195" s="6"/>
      <c r="Y195" s="6"/>
      <c r="Z195" s="6"/>
      <c r="AA195" s="6" t="s">
        <v>193</v>
      </c>
    </row>
    <row r="196" spans="1:27" s="4" customFormat="1" ht="42" customHeight="1">
      <c r="A196" s="5">
        <v>0</v>
      </c>
      <c r="B196" s="6" t="s">
        <v>1395</v>
      </c>
      <c r="C196" s="13">
        <v>300</v>
      </c>
      <c r="D196" s="8" t="s">
        <v>1396</v>
      </c>
      <c r="E196" s="8" t="s">
        <v>1397</v>
      </c>
      <c r="F196" s="8" t="s">
        <v>1398</v>
      </c>
      <c r="G196" s="6" t="s">
        <v>52</v>
      </c>
      <c r="H196" s="6" t="s">
        <v>38</v>
      </c>
      <c r="I196" s="8" t="s">
        <v>39</v>
      </c>
      <c r="J196" s="9">
        <v>1</v>
      </c>
      <c r="K196" s="9">
        <v>71</v>
      </c>
      <c r="L196" s="9">
        <v>2022</v>
      </c>
      <c r="M196" s="8" t="s">
        <v>1399</v>
      </c>
      <c r="N196" s="8" t="s">
        <v>41</v>
      </c>
      <c r="O196" s="8" t="s">
        <v>64</v>
      </c>
      <c r="P196" s="6" t="s">
        <v>43</v>
      </c>
      <c r="Q196" s="8" t="s">
        <v>44</v>
      </c>
      <c r="R196" s="10" t="s">
        <v>1400</v>
      </c>
      <c r="S196" s="11"/>
      <c r="T196" s="6" t="s">
        <v>89</v>
      </c>
      <c r="U196" s="28" t="str">
        <f>HYPERLINK("https://media.infra-m.ru/1881/1881237/cover/1881237.jpg", "Обложка")</f>
        <v>Обложка</v>
      </c>
      <c r="V196" s="28" t="str">
        <f>HYPERLINK("https://znanium.com/catalog/product/1881237", "Ознакомиться")</f>
        <v>Ознакомиться</v>
      </c>
      <c r="W196" s="8" t="s">
        <v>1401</v>
      </c>
      <c r="X196" s="6"/>
      <c r="Y196" s="6"/>
      <c r="Z196" s="6"/>
      <c r="AA196" s="6" t="s">
        <v>91</v>
      </c>
    </row>
    <row r="197" spans="1:27" s="4" customFormat="1" ht="51.95" customHeight="1">
      <c r="A197" s="5">
        <v>0</v>
      </c>
      <c r="B197" s="6" t="s">
        <v>1402</v>
      </c>
      <c r="C197" s="7">
        <v>1174.9000000000001</v>
      </c>
      <c r="D197" s="8" t="s">
        <v>1403</v>
      </c>
      <c r="E197" s="8" t="s">
        <v>1404</v>
      </c>
      <c r="F197" s="8" t="s">
        <v>1405</v>
      </c>
      <c r="G197" s="6" t="s">
        <v>121</v>
      </c>
      <c r="H197" s="6" t="s">
        <v>122</v>
      </c>
      <c r="I197" s="8" t="s">
        <v>298</v>
      </c>
      <c r="J197" s="9">
        <v>1</v>
      </c>
      <c r="K197" s="9">
        <v>261</v>
      </c>
      <c r="L197" s="9">
        <v>2023</v>
      </c>
      <c r="M197" s="8" t="s">
        <v>1406</v>
      </c>
      <c r="N197" s="8" t="s">
        <v>41</v>
      </c>
      <c r="O197" s="8" t="s">
        <v>54</v>
      </c>
      <c r="P197" s="6" t="s">
        <v>65</v>
      </c>
      <c r="Q197" s="8" t="s">
        <v>66</v>
      </c>
      <c r="R197" s="10" t="s">
        <v>1407</v>
      </c>
      <c r="S197" s="11"/>
      <c r="T197" s="6"/>
      <c r="U197" s="28" t="str">
        <f>HYPERLINK("https://media.infra-m.ru/1062/1062008/cover/1062008.jpg", "Обложка")</f>
        <v>Обложка</v>
      </c>
      <c r="V197" s="28" t="str">
        <f>HYPERLINK("https://znanium.com/catalog/product/926480", "Ознакомиться")</f>
        <v>Ознакомиться</v>
      </c>
      <c r="W197" s="8" t="s">
        <v>620</v>
      </c>
      <c r="X197" s="6"/>
      <c r="Y197" s="6"/>
      <c r="Z197" s="6"/>
      <c r="AA197" s="6" t="s">
        <v>70</v>
      </c>
    </row>
    <row r="198" spans="1:27" s="4" customFormat="1" ht="51.95" customHeight="1">
      <c r="A198" s="5">
        <v>0</v>
      </c>
      <c r="B198" s="6" t="s">
        <v>1408</v>
      </c>
      <c r="C198" s="7">
        <v>2050</v>
      </c>
      <c r="D198" s="8" t="s">
        <v>1409</v>
      </c>
      <c r="E198" s="8" t="s">
        <v>1410</v>
      </c>
      <c r="F198" s="8" t="s">
        <v>1411</v>
      </c>
      <c r="G198" s="6" t="s">
        <v>52</v>
      </c>
      <c r="H198" s="6" t="s">
        <v>38</v>
      </c>
      <c r="I198" s="8" t="s">
        <v>130</v>
      </c>
      <c r="J198" s="9">
        <v>1</v>
      </c>
      <c r="K198" s="9">
        <v>449</v>
      </c>
      <c r="L198" s="9">
        <v>2023</v>
      </c>
      <c r="M198" s="8" t="s">
        <v>1412</v>
      </c>
      <c r="N198" s="8" t="s">
        <v>41</v>
      </c>
      <c r="O198" s="8" t="s">
        <v>64</v>
      </c>
      <c r="P198" s="6" t="s">
        <v>65</v>
      </c>
      <c r="Q198" s="8" t="s">
        <v>132</v>
      </c>
      <c r="R198" s="10" t="s">
        <v>1413</v>
      </c>
      <c r="S198" s="11" t="s">
        <v>1414</v>
      </c>
      <c r="T198" s="6"/>
      <c r="U198" s="28" t="str">
        <f>HYPERLINK("https://media.infra-m.ru/2020/2020516/cover/2020516.jpg", "Обложка")</f>
        <v>Обложка</v>
      </c>
      <c r="V198" s="28" t="str">
        <f>HYPERLINK("https://znanium.com/catalog/product/2020516", "Ознакомиться")</f>
        <v>Ознакомиться</v>
      </c>
      <c r="W198" s="8" t="s">
        <v>1415</v>
      </c>
      <c r="X198" s="6"/>
      <c r="Y198" s="6"/>
      <c r="Z198" s="6"/>
      <c r="AA198" s="6" t="s">
        <v>559</v>
      </c>
    </row>
    <row r="199" spans="1:27" s="4" customFormat="1" ht="51.95" customHeight="1">
      <c r="A199" s="5">
        <v>0</v>
      </c>
      <c r="B199" s="6" t="s">
        <v>1416</v>
      </c>
      <c r="C199" s="13">
        <v>244.9</v>
      </c>
      <c r="D199" s="8" t="s">
        <v>1417</v>
      </c>
      <c r="E199" s="8" t="s">
        <v>1418</v>
      </c>
      <c r="F199" s="8" t="s">
        <v>1419</v>
      </c>
      <c r="G199" s="6" t="s">
        <v>52</v>
      </c>
      <c r="H199" s="6" t="s">
        <v>122</v>
      </c>
      <c r="I199" s="8" t="s">
        <v>298</v>
      </c>
      <c r="J199" s="9">
        <v>1</v>
      </c>
      <c r="K199" s="9">
        <v>128</v>
      </c>
      <c r="L199" s="9">
        <v>2019</v>
      </c>
      <c r="M199" s="8" t="s">
        <v>1420</v>
      </c>
      <c r="N199" s="8" t="s">
        <v>41</v>
      </c>
      <c r="O199" s="8" t="s">
        <v>42</v>
      </c>
      <c r="P199" s="6" t="s">
        <v>65</v>
      </c>
      <c r="Q199" s="8" t="s">
        <v>66</v>
      </c>
      <c r="R199" s="10" t="s">
        <v>1421</v>
      </c>
      <c r="S199" s="11" t="s">
        <v>1422</v>
      </c>
      <c r="T199" s="6"/>
      <c r="U199" s="28" t="str">
        <f>HYPERLINK("https://media.infra-m.ru/0992/0992050/cover/992050.jpg", "Обложка")</f>
        <v>Обложка</v>
      </c>
      <c r="V199" s="12"/>
      <c r="W199" s="8" t="s">
        <v>1423</v>
      </c>
      <c r="X199" s="6"/>
      <c r="Y199" s="6"/>
      <c r="Z199" s="6"/>
      <c r="AA199" s="6" t="s">
        <v>153</v>
      </c>
    </row>
    <row r="200" spans="1:27" s="4" customFormat="1" ht="51.95" customHeight="1">
      <c r="A200" s="5">
        <v>0</v>
      </c>
      <c r="B200" s="6" t="s">
        <v>1424</v>
      </c>
      <c r="C200" s="7">
        <v>1314</v>
      </c>
      <c r="D200" s="8" t="s">
        <v>1425</v>
      </c>
      <c r="E200" s="8" t="s">
        <v>1426</v>
      </c>
      <c r="F200" s="8" t="s">
        <v>1419</v>
      </c>
      <c r="G200" s="6" t="s">
        <v>121</v>
      </c>
      <c r="H200" s="6" t="s">
        <v>264</v>
      </c>
      <c r="I200" s="8"/>
      <c r="J200" s="9">
        <v>1</v>
      </c>
      <c r="K200" s="9">
        <v>286</v>
      </c>
      <c r="L200" s="9">
        <v>2024</v>
      </c>
      <c r="M200" s="8" t="s">
        <v>1427</v>
      </c>
      <c r="N200" s="8" t="s">
        <v>41</v>
      </c>
      <c r="O200" s="8" t="s">
        <v>42</v>
      </c>
      <c r="P200" s="6" t="s">
        <v>65</v>
      </c>
      <c r="Q200" s="8" t="s">
        <v>66</v>
      </c>
      <c r="R200" s="10" t="s">
        <v>1421</v>
      </c>
      <c r="S200" s="11" t="s">
        <v>1422</v>
      </c>
      <c r="T200" s="6"/>
      <c r="U200" s="28" t="str">
        <f>HYPERLINK("https://media.infra-m.ru/2054/2054994/cover/2054994.jpg", "Обложка")</f>
        <v>Обложка</v>
      </c>
      <c r="V200" s="28" t="str">
        <f>HYPERLINK("https://znanium.com/catalog/product/991839", "Ознакомиться")</f>
        <v>Ознакомиться</v>
      </c>
      <c r="W200" s="8" t="s">
        <v>1423</v>
      </c>
      <c r="X200" s="6"/>
      <c r="Y200" s="6"/>
      <c r="Z200" s="6"/>
      <c r="AA200" s="6" t="s">
        <v>1428</v>
      </c>
    </row>
    <row r="201" spans="1:27" s="4" customFormat="1" ht="51.95" customHeight="1">
      <c r="A201" s="5">
        <v>0</v>
      </c>
      <c r="B201" s="6" t="s">
        <v>1429</v>
      </c>
      <c r="C201" s="13">
        <v>584.9</v>
      </c>
      <c r="D201" s="8" t="s">
        <v>1430</v>
      </c>
      <c r="E201" s="8" t="s">
        <v>1431</v>
      </c>
      <c r="F201" s="8" t="s">
        <v>1432</v>
      </c>
      <c r="G201" s="6" t="s">
        <v>52</v>
      </c>
      <c r="H201" s="6" t="s">
        <v>264</v>
      </c>
      <c r="I201" s="8"/>
      <c r="J201" s="9">
        <v>1</v>
      </c>
      <c r="K201" s="9">
        <v>128</v>
      </c>
      <c r="L201" s="9">
        <v>2023</v>
      </c>
      <c r="M201" s="8" t="s">
        <v>1433</v>
      </c>
      <c r="N201" s="8" t="s">
        <v>41</v>
      </c>
      <c r="O201" s="8" t="s">
        <v>42</v>
      </c>
      <c r="P201" s="6" t="s">
        <v>477</v>
      </c>
      <c r="Q201" s="8" t="s">
        <v>66</v>
      </c>
      <c r="R201" s="10" t="s">
        <v>1434</v>
      </c>
      <c r="S201" s="11" t="s">
        <v>1435</v>
      </c>
      <c r="T201" s="6"/>
      <c r="U201" s="12"/>
      <c r="V201" s="28" t="str">
        <f>HYPERLINK("https://znanium.com/catalog/product/999949", "Ознакомиться")</f>
        <v>Ознакомиться</v>
      </c>
      <c r="W201" s="8" t="s">
        <v>1423</v>
      </c>
      <c r="X201" s="6"/>
      <c r="Y201" s="6"/>
      <c r="Z201" s="6"/>
      <c r="AA201" s="6" t="s">
        <v>1436</v>
      </c>
    </row>
    <row r="202" spans="1:27" s="4" customFormat="1" ht="51.95" customHeight="1">
      <c r="A202" s="5">
        <v>0</v>
      </c>
      <c r="B202" s="6" t="s">
        <v>1437</v>
      </c>
      <c r="C202" s="7">
        <v>1220</v>
      </c>
      <c r="D202" s="8" t="s">
        <v>1438</v>
      </c>
      <c r="E202" s="8" t="s">
        <v>1431</v>
      </c>
      <c r="F202" s="8" t="s">
        <v>1439</v>
      </c>
      <c r="G202" s="6" t="s">
        <v>37</v>
      </c>
      <c r="H202" s="6" t="s">
        <v>38</v>
      </c>
      <c r="I202" s="8" t="s">
        <v>130</v>
      </c>
      <c r="J202" s="9">
        <v>1</v>
      </c>
      <c r="K202" s="9">
        <v>271</v>
      </c>
      <c r="L202" s="9">
        <v>2023</v>
      </c>
      <c r="M202" s="8" t="s">
        <v>1440</v>
      </c>
      <c r="N202" s="8" t="s">
        <v>41</v>
      </c>
      <c r="O202" s="8" t="s">
        <v>42</v>
      </c>
      <c r="P202" s="6" t="s">
        <v>85</v>
      </c>
      <c r="Q202" s="8" t="s">
        <v>132</v>
      </c>
      <c r="R202" s="10" t="s">
        <v>1441</v>
      </c>
      <c r="S202" s="11" t="s">
        <v>1442</v>
      </c>
      <c r="T202" s="6"/>
      <c r="U202" s="28" t="str">
        <f>HYPERLINK("https://media.infra-m.ru/2017/2017314/cover/2017314.jpg", "Обложка")</f>
        <v>Обложка</v>
      </c>
      <c r="V202" s="28" t="str">
        <f>HYPERLINK("https://znanium.com/catalog/product/2017314", "Ознакомиться")</f>
        <v>Ознакомиться</v>
      </c>
      <c r="W202" s="8" t="s">
        <v>313</v>
      </c>
      <c r="X202" s="6"/>
      <c r="Y202" s="6"/>
      <c r="Z202" s="6"/>
      <c r="AA202" s="6" t="s">
        <v>1443</v>
      </c>
    </row>
    <row r="203" spans="1:27" s="4" customFormat="1" ht="51.95" customHeight="1">
      <c r="A203" s="5">
        <v>0</v>
      </c>
      <c r="B203" s="6" t="s">
        <v>1444</v>
      </c>
      <c r="C203" s="7">
        <v>1614</v>
      </c>
      <c r="D203" s="8" t="s">
        <v>1445</v>
      </c>
      <c r="E203" s="8" t="s">
        <v>1446</v>
      </c>
      <c r="F203" s="8" t="s">
        <v>1447</v>
      </c>
      <c r="G203" s="6" t="s">
        <v>121</v>
      </c>
      <c r="H203" s="6" t="s">
        <v>38</v>
      </c>
      <c r="I203" s="8" t="s">
        <v>62</v>
      </c>
      <c r="J203" s="9">
        <v>1</v>
      </c>
      <c r="K203" s="9">
        <v>352</v>
      </c>
      <c r="L203" s="9">
        <v>2024</v>
      </c>
      <c r="M203" s="8" t="s">
        <v>1448</v>
      </c>
      <c r="N203" s="8" t="s">
        <v>41</v>
      </c>
      <c r="O203" s="8" t="s">
        <v>42</v>
      </c>
      <c r="P203" s="6" t="s">
        <v>65</v>
      </c>
      <c r="Q203" s="8" t="s">
        <v>66</v>
      </c>
      <c r="R203" s="10" t="s">
        <v>1421</v>
      </c>
      <c r="S203" s="11"/>
      <c r="T203" s="6"/>
      <c r="U203" s="28" t="str">
        <f>HYPERLINK("https://media.infra-m.ru/2087/2087257/cover/2087257.jpg", "Обложка")</f>
        <v>Обложка</v>
      </c>
      <c r="V203" s="28" t="str">
        <f>HYPERLINK("https://znanium.com/catalog/product/1851539", "Ознакомиться")</f>
        <v>Ознакомиться</v>
      </c>
      <c r="W203" s="8" t="s">
        <v>1449</v>
      </c>
      <c r="X203" s="6"/>
      <c r="Y203" s="6"/>
      <c r="Z203" s="6"/>
      <c r="AA203" s="6" t="s">
        <v>57</v>
      </c>
    </row>
    <row r="204" spans="1:27" s="4" customFormat="1" ht="51.95" customHeight="1">
      <c r="A204" s="5">
        <v>0</v>
      </c>
      <c r="B204" s="6" t="s">
        <v>1450</v>
      </c>
      <c r="C204" s="7">
        <v>1074.9000000000001</v>
      </c>
      <c r="D204" s="8" t="s">
        <v>1451</v>
      </c>
      <c r="E204" s="8" t="s">
        <v>1452</v>
      </c>
      <c r="F204" s="8" t="s">
        <v>1453</v>
      </c>
      <c r="G204" s="6" t="s">
        <v>121</v>
      </c>
      <c r="H204" s="6" t="s">
        <v>38</v>
      </c>
      <c r="I204" s="8" t="s">
        <v>62</v>
      </c>
      <c r="J204" s="9">
        <v>1</v>
      </c>
      <c r="K204" s="9">
        <v>335</v>
      </c>
      <c r="L204" s="9">
        <v>2019</v>
      </c>
      <c r="M204" s="8" t="s">
        <v>1454</v>
      </c>
      <c r="N204" s="8" t="s">
        <v>41</v>
      </c>
      <c r="O204" s="8" t="s">
        <v>42</v>
      </c>
      <c r="P204" s="6" t="s">
        <v>65</v>
      </c>
      <c r="Q204" s="8" t="s">
        <v>86</v>
      </c>
      <c r="R204" s="10" t="s">
        <v>1455</v>
      </c>
      <c r="S204" s="11" t="s">
        <v>1456</v>
      </c>
      <c r="T204" s="6"/>
      <c r="U204" s="28" t="str">
        <f>HYPERLINK("https://media.infra-m.ru/1010/1010078/cover/1010078.jpg", "Обложка")</f>
        <v>Обложка</v>
      </c>
      <c r="V204" s="28" t="str">
        <f>HYPERLINK("https://znanium.com/catalog/product/1010078", "Ознакомиться")</f>
        <v>Ознакомиться</v>
      </c>
      <c r="W204" s="8" t="s">
        <v>1457</v>
      </c>
      <c r="X204" s="6"/>
      <c r="Y204" s="6"/>
      <c r="Z204" s="6"/>
      <c r="AA204" s="6" t="s">
        <v>161</v>
      </c>
    </row>
    <row r="205" spans="1:27" s="4" customFormat="1" ht="51.95" customHeight="1">
      <c r="A205" s="5">
        <v>0</v>
      </c>
      <c r="B205" s="6" t="s">
        <v>1458</v>
      </c>
      <c r="C205" s="13">
        <v>650</v>
      </c>
      <c r="D205" s="8" t="s">
        <v>1459</v>
      </c>
      <c r="E205" s="8" t="s">
        <v>1460</v>
      </c>
      <c r="F205" s="8" t="s">
        <v>1461</v>
      </c>
      <c r="G205" s="6" t="s">
        <v>37</v>
      </c>
      <c r="H205" s="6" t="s">
        <v>264</v>
      </c>
      <c r="I205" s="8" t="s">
        <v>130</v>
      </c>
      <c r="J205" s="9">
        <v>1</v>
      </c>
      <c r="K205" s="9">
        <v>141</v>
      </c>
      <c r="L205" s="9">
        <v>2024</v>
      </c>
      <c r="M205" s="8" t="s">
        <v>1462</v>
      </c>
      <c r="N205" s="8" t="s">
        <v>41</v>
      </c>
      <c r="O205" s="8" t="s">
        <v>42</v>
      </c>
      <c r="P205" s="6" t="s">
        <v>65</v>
      </c>
      <c r="Q205" s="8" t="s">
        <v>66</v>
      </c>
      <c r="R205" s="10" t="s">
        <v>1421</v>
      </c>
      <c r="S205" s="11" t="s">
        <v>1463</v>
      </c>
      <c r="T205" s="6"/>
      <c r="U205" s="28" t="str">
        <f>HYPERLINK("https://media.infra-m.ru/1891/1891835/cover/1891835.jpg", "Обложка")</f>
        <v>Обложка</v>
      </c>
      <c r="V205" s="28" t="str">
        <f>HYPERLINK("https://znanium.com/catalog/product/1891835", "Ознакомиться")</f>
        <v>Ознакомиться</v>
      </c>
      <c r="W205" s="8" t="s">
        <v>1001</v>
      </c>
      <c r="X205" s="6"/>
      <c r="Y205" s="6"/>
      <c r="Z205" s="6"/>
      <c r="AA205" s="6" t="s">
        <v>193</v>
      </c>
    </row>
    <row r="206" spans="1:27" s="4" customFormat="1" ht="21.95" customHeight="1">
      <c r="A206" s="5">
        <v>0</v>
      </c>
      <c r="B206" s="6" t="s">
        <v>1464</v>
      </c>
      <c r="C206" s="13">
        <v>74.900000000000006</v>
      </c>
      <c r="D206" s="8" t="s">
        <v>1465</v>
      </c>
      <c r="E206" s="8" t="s">
        <v>1446</v>
      </c>
      <c r="F206" s="8"/>
      <c r="G206" s="6" t="s">
        <v>52</v>
      </c>
      <c r="H206" s="6" t="s">
        <v>122</v>
      </c>
      <c r="I206" s="8" t="s">
        <v>197</v>
      </c>
      <c r="J206" s="9">
        <v>1</v>
      </c>
      <c r="K206" s="9">
        <v>126</v>
      </c>
      <c r="L206" s="9">
        <v>2017</v>
      </c>
      <c r="M206" s="8" t="s">
        <v>1466</v>
      </c>
      <c r="N206" s="8" t="s">
        <v>41</v>
      </c>
      <c r="O206" s="8" t="s">
        <v>42</v>
      </c>
      <c r="P206" s="6" t="s">
        <v>199</v>
      </c>
      <c r="Q206" s="8" t="s">
        <v>66</v>
      </c>
      <c r="R206" s="10"/>
      <c r="S206" s="11"/>
      <c r="T206" s="6"/>
      <c r="U206" s="12"/>
      <c r="V206" s="12"/>
      <c r="W206" s="8"/>
      <c r="X206" s="6"/>
      <c r="Y206" s="6"/>
      <c r="Z206" s="6"/>
      <c r="AA206" s="6" t="s">
        <v>202</v>
      </c>
    </row>
    <row r="207" spans="1:27" s="4" customFormat="1" ht="42" customHeight="1">
      <c r="A207" s="5">
        <v>0</v>
      </c>
      <c r="B207" s="6" t="s">
        <v>1467</v>
      </c>
      <c r="C207" s="13">
        <v>804.9</v>
      </c>
      <c r="D207" s="8" t="s">
        <v>1468</v>
      </c>
      <c r="E207" s="8" t="s">
        <v>1469</v>
      </c>
      <c r="F207" s="8" t="s">
        <v>1470</v>
      </c>
      <c r="G207" s="6" t="s">
        <v>52</v>
      </c>
      <c r="H207" s="6" t="s">
        <v>38</v>
      </c>
      <c r="I207" s="8" t="s">
        <v>39</v>
      </c>
      <c r="J207" s="9">
        <v>1</v>
      </c>
      <c r="K207" s="9">
        <v>178</v>
      </c>
      <c r="L207" s="9">
        <v>2023</v>
      </c>
      <c r="M207" s="8" t="s">
        <v>1471</v>
      </c>
      <c r="N207" s="8" t="s">
        <v>41</v>
      </c>
      <c r="O207" s="8" t="s">
        <v>42</v>
      </c>
      <c r="P207" s="6" t="s">
        <v>43</v>
      </c>
      <c r="Q207" s="8" t="s">
        <v>44</v>
      </c>
      <c r="R207" s="10" t="s">
        <v>1472</v>
      </c>
      <c r="S207" s="11"/>
      <c r="T207" s="6"/>
      <c r="U207" s="28" t="str">
        <f>HYPERLINK("https://media.infra-m.ru/2006/2006934/cover/2006934.jpg", "Обложка")</f>
        <v>Обложка</v>
      </c>
      <c r="V207" s="28" t="str">
        <f>HYPERLINK("https://znanium.com/catalog/product/983573", "Ознакомиться")</f>
        <v>Ознакомиться</v>
      </c>
      <c r="W207" s="8" t="s">
        <v>713</v>
      </c>
      <c r="X207" s="6"/>
      <c r="Y207" s="6"/>
      <c r="Z207" s="6"/>
      <c r="AA207" s="6" t="s">
        <v>91</v>
      </c>
    </row>
    <row r="208" spans="1:27" s="4" customFormat="1" ht="51.95" customHeight="1">
      <c r="A208" s="5">
        <v>0</v>
      </c>
      <c r="B208" s="6" t="s">
        <v>1473</v>
      </c>
      <c r="C208" s="7">
        <v>1254.9000000000001</v>
      </c>
      <c r="D208" s="8" t="s">
        <v>1474</v>
      </c>
      <c r="E208" s="8" t="s">
        <v>1475</v>
      </c>
      <c r="F208" s="8" t="s">
        <v>1476</v>
      </c>
      <c r="G208" s="6" t="s">
        <v>52</v>
      </c>
      <c r="H208" s="6" t="s">
        <v>38</v>
      </c>
      <c r="I208" s="8" t="s">
        <v>39</v>
      </c>
      <c r="J208" s="9">
        <v>1</v>
      </c>
      <c r="K208" s="9">
        <v>278</v>
      </c>
      <c r="L208" s="9">
        <v>2023</v>
      </c>
      <c r="M208" s="8" t="s">
        <v>1477</v>
      </c>
      <c r="N208" s="8" t="s">
        <v>41</v>
      </c>
      <c r="O208" s="8" t="s">
        <v>64</v>
      </c>
      <c r="P208" s="6" t="s">
        <v>43</v>
      </c>
      <c r="Q208" s="8" t="s">
        <v>44</v>
      </c>
      <c r="R208" s="10" t="s">
        <v>1478</v>
      </c>
      <c r="S208" s="11"/>
      <c r="T208" s="6"/>
      <c r="U208" s="28" t="str">
        <f>HYPERLINK("https://media.infra-m.ru/2030/2030857/cover/2030857.jpg", "Обложка")</f>
        <v>Обложка</v>
      </c>
      <c r="V208" s="28" t="str">
        <f>HYPERLINK("https://znanium.com/catalog/product/982304", "Ознакомиться")</f>
        <v>Ознакомиться</v>
      </c>
      <c r="W208" s="8" t="s">
        <v>1479</v>
      </c>
      <c r="X208" s="6"/>
      <c r="Y208" s="6"/>
      <c r="Z208" s="6"/>
      <c r="AA208" s="6" t="s">
        <v>193</v>
      </c>
    </row>
    <row r="209" spans="1:27" s="4" customFormat="1" ht="42" customHeight="1">
      <c r="A209" s="5">
        <v>0</v>
      </c>
      <c r="B209" s="6" t="s">
        <v>1480</v>
      </c>
      <c r="C209" s="13">
        <v>870</v>
      </c>
      <c r="D209" s="8" t="s">
        <v>1481</v>
      </c>
      <c r="E209" s="8" t="s">
        <v>1482</v>
      </c>
      <c r="F209" s="8" t="s">
        <v>1483</v>
      </c>
      <c r="G209" s="6" t="s">
        <v>52</v>
      </c>
      <c r="H209" s="6" t="s">
        <v>38</v>
      </c>
      <c r="I209" s="8" t="s">
        <v>39</v>
      </c>
      <c r="J209" s="9">
        <v>1</v>
      </c>
      <c r="K209" s="9">
        <v>221</v>
      </c>
      <c r="L209" s="9">
        <v>2021</v>
      </c>
      <c r="M209" s="8" t="s">
        <v>1484</v>
      </c>
      <c r="N209" s="8" t="s">
        <v>41</v>
      </c>
      <c r="O209" s="8" t="s">
        <v>54</v>
      </c>
      <c r="P209" s="6" t="s">
        <v>43</v>
      </c>
      <c r="Q209" s="8" t="s">
        <v>44</v>
      </c>
      <c r="R209" s="10" t="s">
        <v>1485</v>
      </c>
      <c r="S209" s="11"/>
      <c r="T209" s="6"/>
      <c r="U209" s="28" t="str">
        <f>HYPERLINK("https://media.infra-m.ru/1587/1587437/cover/1587437.jpg", "Обложка")</f>
        <v>Обложка</v>
      </c>
      <c r="V209" s="28" t="str">
        <f>HYPERLINK("https://znanium.com/catalog/product/1587437", "Ознакомиться")</f>
        <v>Ознакомиться</v>
      </c>
      <c r="W209" s="8" t="s">
        <v>1486</v>
      </c>
      <c r="X209" s="6"/>
      <c r="Y209" s="6"/>
      <c r="Z209" s="6"/>
      <c r="AA209" s="6" t="s">
        <v>135</v>
      </c>
    </row>
    <row r="210" spans="1:27" s="4" customFormat="1" ht="51.95" customHeight="1">
      <c r="A210" s="5">
        <v>0</v>
      </c>
      <c r="B210" s="6" t="s">
        <v>1487</v>
      </c>
      <c r="C210" s="7">
        <v>1590</v>
      </c>
      <c r="D210" s="8" t="s">
        <v>1488</v>
      </c>
      <c r="E210" s="8" t="s">
        <v>1489</v>
      </c>
      <c r="F210" s="8" t="s">
        <v>1490</v>
      </c>
      <c r="G210" s="6" t="s">
        <v>52</v>
      </c>
      <c r="H210" s="6" t="s">
        <v>38</v>
      </c>
      <c r="I210" s="8" t="s">
        <v>39</v>
      </c>
      <c r="J210" s="9">
        <v>1</v>
      </c>
      <c r="K210" s="9">
        <v>353</v>
      </c>
      <c r="L210" s="9">
        <v>2023</v>
      </c>
      <c r="M210" s="8" t="s">
        <v>1491</v>
      </c>
      <c r="N210" s="8" t="s">
        <v>41</v>
      </c>
      <c r="O210" s="8" t="s">
        <v>54</v>
      </c>
      <c r="P210" s="6" t="s">
        <v>43</v>
      </c>
      <c r="Q210" s="8" t="s">
        <v>44</v>
      </c>
      <c r="R210" s="10" t="s">
        <v>1492</v>
      </c>
      <c r="S210" s="11"/>
      <c r="T210" s="6"/>
      <c r="U210" s="28" t="str">
        <f>HYPERLINK("https://media.infra-m.ru/1896/1896110/cover/1896110.jpg", "Обложка")</f>
        <v>Обложка</v>
      </c>
      <c r="V210" s="28" t="str">
        <f>HYPERLINK("https://znanium.com/catalog/product/1896110", "Ознакомиться")</f>
        <v>Ознакомиться</v>
      </c>
      <c r="W210" s="8" t="s">
        <v>1486</v>
      </c>
      <c r="X210" s="6"/>
      <c r="Y210" s="6"/>
      <c r="Z210" s="6"/>
      <c r="AA210" s="6" t="s">
        <v>382</v>
      </c>
    </row>
    <row r="211" spans="1:27" s="4" customFormat="1" ht="51.95" customHeight="1">
      <c r="A211" s="5">
        <v>0</v>
      </c>
      <c r="B211" s="6" t="s">
        <v>1493</v>
      </c>
      <c r="C211" s="13">
        <v>610</v>
      </c>
      <c r="D211" s="8" t="s">
        <v>1494</v>
      </c>
      <c r="E211" s="8" t="s">
        <v>1495</v>
      </c>
      <c r="F211" s="8" t="s">
        <v>1490</v>
      </c>
      <c r="G211" s="6" t="s">
        <v>52</v>
      </c>
      <c r="H211" s="6" t="s">
        <v>38</v>
      </c>
      <c r="I211" s="8" t="s">
        <v>39</v>
      </c>
      <c r="J211" s="9">
        <v>1</v>
      </c>
      <c r="K211" s="9">
        <v>160</v>
      </c>
      <c r="L211" s="9">
        <v>2021</v>
      </c>
      <c r="M211" s="8" t="s">
        <v>1496</v>
      </c>
      <c r="N211" s="8" t="s">
        <v>41</v>
      </c>
      <c r="O211" s="8" t="s">
        <v>54</v>
      </c>
      <c r="P211" s="6" t="s">
        <v>43</v>
      </c>
      <c r="Q211" s="8" t="s">
        <v>44</v>
      </c>
      <c r="R211" s="10" t="s">
        <v>1492</v>
      </c>
      <c r="S211" s="11"/>
      <c r="T211" s="6"/>
      <c r="U211" s="28" t="str">
        <f>HYPERLINK("https://media.infra-m.ru/1516/1516204/cover/1516204.jpg", "Обложка")</f>
        <v>Обложка</v>
      </c>
      <c r="V211" s="28" t="str">
        <f>HYPERLINK("https://znanium.com/catalog/product/1896110", "Ознакомиться")</f>
        <v>Ознакомиться</v>
      </c>
      <c r="W211" s="8" t="s">
        <v>1486</v>
      </c>
      <c r="X211" s="6"/>
      <c r="Y211" s="6"/>
      <c r="Z211" s="6"/>
      <c r="AA211" s="6" t="s">
        <v>57</v>
      </c>
    </row>
    <row r="212" spans="1:27" s="4" customFormat="1" ht="51.95" customHeight="1">
      <c r="A212" s="5">
        <v>0</v>
      </c>
      <c r="B212" s="6" t="s">
        <v>1497</v>
      </c>
      <c r="C212" s="13">
        <v>710</v>
      </c>
      <c r="D212" s="8" t="s">
        <v>1498</v>
      </c>
      <c r="E212" s="8" t="s">
        <v>1499</v>
      </c>
      <c r="F212" s="8" t="s">
        <v>1500</v>
      </c>
      <c r="G212" s="6" t="s">
        <v>52</v>
      </c>
      <c r="H212" s="6" t="s">
        <v>38</v>
      </c>
      <c r="I212" s="8" t="s">
        <v>39</v>
      </c>
      <c r="J212" s="9">
        <v>1</v>
      </c>
      <c r="K212" s="9">
        <v>183</v>
      </c>
      <c r="L212" s="9">
        <v>2022</v>
      </c>
      <c r="M212" s="8" t="s">
        <v>1501</v>
      </c>
      <c r="N212" s="8" t="s">
        <v>41</v>
      </c>
      <c r="O212" s="8" t="s">
        <v>54</v>
      </c>
      <c r="P212" s="6" t="s">
        <v>43</v>
      </c>
      <c r="Q212" s="8" t="s">
        <v>44</v>
      </c>
      <c r="R212" s="10" t="s">
        <v>1502</v>
      </c>
      <c r="S212" s="11"/>
      <c r="T212" s="6"/>
      <c r="U212" s="28" t="str">
        <f>HYPERLINK("https://media.infra-m.ru/1859/1859039/cover/1859039.jpg", "Обложка")</f>
        <v>Обложка</v>
      </c>
      <c r="V212" s="28" t="str">
        <f>HYPERLINK("https://znanium.com/catalog/product/1859039", "Ознакомиться")</f>
        <v>Ознакомиться</v>
      </c>
      <c r="W212" s="8" t="s">
        <v>1486</v>
      </c>
      <c r="X212" s="6"/>
      <c r="Y212" s="6"/>
      <c r="Z212" s="6"/>
      <c r="AA212" s="6" t="s">
        <v>70</v>
      </c>
    </row>
    <row r="213" spans="1:27" s="4" customFormat="1" ht="51.95" customHeight="1">
      <c r="A213" s="5">
        <v>0</v>
      </c>
      <c r="B213" s="6" t="s">
        <v>1503</v>
      </c>
      <c r="C213" s="7">
        <v>2970</v>
      </c>
      <c r="D213" s="8" t="s">
        <v>1504</v>
      </c>
      <c r="E213" s="8" t="s">
        <v>1505</v>
      </c>
      <c r="F213" s="8" t="s">
        <v>1506</v>
      </c>
      <c r="G213" s="6" t="s">
        <v>121</v>
      </c>
      <c r="H213" s="6" t="s">
        <v>38</v>
      </c>
      <c r="I213" s="8" t="s">
        <v>130</v>
      </c>
      <c r="J213" s="9">
        <v>1</v>
      </c>
      <c r="K213" s="9">
        <v>647</v>
      </c>
      <c r="L213" s="9">
        <v>2024</v>
      </c>
      <c r="M213" s="8" t="s">
        <v>1507</v>
      </c>
      <c r="N213" s="8" t="s">
        <v>41</v>
      </c>
      <c r="O213" s="8" t="s">
        <v>54</v>
      </c>
      <c r="P213" s="6" t="s">
        <v>85</v>
      </c>
      <c r="Q213" s="8" t="s">
        <v>66</v>
      </c>
      <c r="R213" s="10" t="s">
        <v>1508</v>
      </c>
      <c r="S213" s="11" t="s">
        <v>1509</v>
      </c>
      <c r="T213" s="6"/>
      <c r="U213" s="28" t="str">
        <f>HYPERLINK("https://media.infra-m.ru/2091/2091898/cover/2091898.jpg", "Обложка")</f>
        <v>Обложка</v>
      </c>
      <c r="V213" s="28" t="str">
        <f>HYPERLINK("https://znanium.com/catalog/product/2091898", "Ознакомиться")</f>
        <v>Ознакомиться</v>
      </c>
      <c r="W213" s="8" t="s">
        <v>216</v>
      </c>
      <c r="X213" s="6"/>
      <c r="Y213" s="6"/>
      <c r="Z213" s="6"/>
      <c r="AA213" s="6" t="s">
        <v>70</v>
      </c>
    </row>
    <row r="214" spans="1:27" s="4" customFormat="1" ht="42" customHeight="1">
      <c r="A214" s="5">
        <v>0</v>
      </c>
      <c r="B214" s="6" t="s">
        <v>1510</v>
      </c>
      <c r="C214" s="7">
        <v>1234</v>
      </c>
      <c r="D214" s="8" t="s">
        <v>1511</v>
      </c>
      <c r="E214" s="8" t="s">
        <v>1512</v>
      </c>
      <c r="F214" s="8" t="s">
        <v>1513</v>
      </c>
      <c r="G214" s="6" t="s">
        <v>121</v>
      </c>
      <c r="H214" s="6" t="s">
        <v>207</v>
      </c>
      <c r="I214" s="8" t="s">
        <v>62</v>
      </c>
      <c r="J214" s="9">
        <v>1</v>
      </c>
      <c r="K214" s="9">
        <v>272</v>
      </c>
      <c r="L214" s="9">
        <v>2023</v>
      </c>
      <c r="M214" s="8" t="s">
        <v>1514</v>
      </c>
      <c r="N214" s="8" t="s">
        <v>41</v>
      </c>
      <c r="O214" s="8" t="s">
        <v>64</v>
      </c>
      <c r="P214" s="6" t="s">
        <v>85</v>
      </c>
      <c r="Q214" s="8" t="s">
        <v>66</v>
      </c>
      <c r="R214" s="10" t="s">
        <v>1515</v>
      </c>
      <c r="S214" s="11"/>
      <c r="T214" s="6"/>
      <c r="U214" s="28" t="str">
        <f>HYPERLINK("https://media.infra-m.ru/2013/2013653/cover/2013653.jpg", "Обложка")</f>
        <v>Обложка</v>
      </c>
      <c r="V214" s="12"/>
      <c r="W214" s="8" t="s">
        <v>1516</v>
      </c>
      <c r="X214" s="6"/>
      <c r="Y214" s="6"/>
      <c r="Z214" s="6"/>
      <c r="AA214" s="6" t="s">
        <v>842</v>
      </c>
    </row>
    <row r="215" spans="1:27" s="4" customFormat="1" ht="51.95" customHeight="1">
      <c r="A215" s="5">
        <v>0</v>
      </c>
      <c r="B215" s="6" t="s">
        <v>1517</v>
      </c>
      <c r="C215" s="7">
        <v>1224</v>
      </c>
      <c r="D215" s="8" t="s">
        <v>1518</v>
      </c>
      <c r="E215" s="8" t="s">
        <v>1512</v>
      </c>
      <c r="F215" s="8" t="s">
        <v>1519</v>
      </c>
      <c r="G215" s="6" t="s">
        <v>37</v>
      </c>
      <c r="H215" s="6" t="s">
        <v>207</v>
      </c>
      <c r="I215" s="8" t="s">
        <v>187</v>
      </c>
      <c r="J215" s="9">
        <v>1</v>
      </c>
      <c r="K215" s="9">
        <v>272</v>
      </c>
      <c r="L215" s="9">
        <v>2023</v>
      </c>
      <c r="M215" s="8" t="s">
        <v>1520</v>
      </c>
      <c r="N215" s="8" t="s">
        <v>41</v>
      </c>
      <c r="O215" s="8" t="s">
        <v>64</v>
      </c>
      <c r="P215" s="6" t="s">
        <v>85</v>
      </c>
      <c r="Q215" s="8" t="s">
        <v>189</v>
      </c>
      <c r="R215" s="10" t="s">
        <v>1521</v>
      </c>
      <c r="S215" s="11" t="s">
        <v>1522</v>
      </c>
      <c r="T215" s="6"/>
      <c r="U215" s="28" t="str">
        <f>HYPERLINK("https://media.infra-m.ru/2021/2021426/cover/2021426.jpg", "Обложка")</f>
        <v>Обложка</v>
      </c>
      <c r="V215" s="28" t="str">
        <f>HYPERLINK("https://znanium.com/catalog/product/961493", "Ознакомиться")</f>
        <v>Ознакомиться</v>
      </c>
      <c r="W215" s="8" t="s">
        <v>1516</v>
      </c>
      <c r="X215" s="6"/>
      <c r="Y215" s="6"/>
      <c r="Z215" s="6" t="s">
        <v>192</v>
      </c>
      <c r="AA215" s="6" t="s">
        <v>1523</v>
      </c>
    </row>
    <row r="216" spans="1:27" s="4" customFormat="1" ht="51.95" customHeight="1">
      <c r="A216" s="5">
        <v>0</v>
      </c>
      <c r="B216" s="6" t="s">
        <v>1524</v>
      </c>
      <c r="C216" s="7">
        <v>1204.9000000000001</v>
      </c>
      <c r="D216" s="8" t="s">
        <v>1525</v>
      </c>
      <c r="E216" s="8" t="s">
        <v>1526</v>
      </c>
      <c r="F216" s="8" t="s">
        <v>1527</v>
      </c>
      <c r="G216" s="6" t="s">
        <v>121</v>
      </c>
      <c r="H216" s="6" t="s">
        <v>38</v>
      </c>
      <c r="I216" s="8" t="s">
        <v>62</v>
      </c>
      <c r="J216" s="9">
        <v>1</v>
      </c>
      <c r="K216" s="9">
        <v>268</v>
      </c>
      <c r="L216" s="9">
        <v>2023</v>
      </c>
      <c r="M216" s="8" t="s">
        <v>1528</v>
      </c>
      <c r="N216" s="8" t="s">
        <v>41</v>
      </c>
      <c r="O216" s="8" t="s">
        <v>54</v>
      </c>
      <c r="P216" s="6" t="s">
        <v>65</v>
      </c>
      <c r="Q216" s="8" t="s">
        <v>66</v>
      </c>
      <c r="R216" s="10" t="s">
        <v>1529</v>
      </c>
      <c r="S216" s="11" t="s">
        <v>1530</v>
      </c>
      <c r="T216" s="6"/>
      <c r="U216" s="28" t="str">
        <f>HYPERLINK("https://media.infra-m.ru/2006/2006903/cover/2006903.jpg", "Обложка")</f>
        <v>Обложка</v>
      </c>
      <c r="V216" s="28" t="str">
        <f>HYPERLINK("https://znanium.com/catalog/product/1013010", "Ознакомиться")</f>
        <v>Ознакомиться</v>
      </c>
      <c r="W216" s="8" t="s">
        <v>981</v>
      </c>
      <c r="X216" s="6"/>
      <c r="Y216" s="6"/>
      <c r="Z216" s="6"/>
      <c r="AA216" s="6" t="s">
        <v>135</v>
      </c>
    </row>
    <row r="217" spans="1:27" s="4" customFormat="1" ht="51.95" customHeight="1">
      <c r="A217" s="5">
        <v>0</v>
      </c>
      <c r="B217" s="6" t="s">
        <v>1531</v>
      </c>
      <c r="C217" s="7">
        <v>1324.9</v>
      </c>
      <c r="D217" s="8" t="s">
        <v>1532</v>
      </c>
      <c r="E217" s="8" t="s">
        <v>1533</v>
      </c>
      <c r="F217" s="8" t="s">
        <v>1534</v>
      </c>
      <c r="G217" s="6" t="s">
        <v>121</v>
      </c>
      <c r="H217" s="6" t="s">
        <v>317</v>
      </c>
      <c r="I217" s="8"/>
      <c r="J217" s="9">
        <v>1</v>
      </c>
      <c r="K217" s="9">
        <v>360</v>
      </c>
      <c r="L217" s="9">
        <v>2021</v>
      </c>
      <c r="M217" s="8" t="s">
        <v>1535</v>
      </c>
      <c r="N217" s="8" t="s">
        <v>41</v>
      </c>
      <c r="O217" s="8" t="s">
        <v>54</v>
      </c>
      <c r="P217" s="6" t="s">
        <v>85</v>
      </c>
      <c r="Q217" s="8" t="s">
        <v>66</v>
      </c>
      <c r="R217" s="10" t="s">
        <v>1536</v>
      </c>
      <c r="S217" s="11" t="s">
        <v>1537</v>
      </c>
      <c r="T217" s="6"/>
      <c r="U217" s="28" t="str">
        <f>HYPERLINK("https://media.infra-m.ru/1217/1217727/cover/1217727.jpg", "Обложка")</f>
        <v>Обложка</v>
      </c>
      <c r="V217" s="28" t="str">
        <f>HYPERLINK("https://znanium.com/catalog/product/1094750", "Ознакомиться")</f>
        <v>Ознакомиться</v>
      </c>
      <c r="W217" s="8" t="s">
        <v>1538</v>
      </c>
      <c r="X217" s="6"/>
      <c r="Y217" s="6"/>
      <c r="Z217" s="6"/>
      <c r="AA217" s="6" t="s">
        <v>100</v>
      </c>
    </row>
    <row r="218" spans="1:27" s="4" customFormat="1" ht="51.95" customHeight="1">
      <c r="A218" s="5">
        <v>0</v>
      </c>
      <c r="B218" s="6" t="s">
        <v>1539</v>
      </c>
      <c r="C218" s="7">
        <v>1844</v>
      </c>
      <c r="D218" s="8" t="s">
        <v>1540</v>
      </c>
      <c r="E218" s="8" t="s">
        <v>1541</v>
      </c>
      <c r="F218" s="8" t="s">
        <v>1542</v>
      </c>
      <c r="G218" s="6" t="s">
        <v>121</v>
      </c>
      <c r="H218" s="6" t="s">
        <v>38</v>
      </c>
      <c r="I218" s="8" t="s">
        <v>62</v>
      </c>
      <c r="J218" s="9">
        <v>1</v>
      </c>
      <c r="K218" s="9">
        <v>400</v>
      </c>
      <c r="L218" s="9">
        <v>2024</v>
      </c>
      <c r="M218" s="8" t="s">
        <v>1543</v>
      </c>
      <c r="N218" s="8" t="s">
        <v>41</v>
      </c>
      <c r="O218" s="8" t="s">
        <v>54</v>
      </c>
      <c r="P218" s="6" t="s">
        <v>85</v>
      </c>
      <c r="Q218" s="8" t="s">
        <v>66</v>
      </c>
      <c r="R218" s="10" t="s">
        <v>1544</v>
      </c>
      <c r="S218" s="11" t="s">
        <v>1545</v>
      </c>
      <c r="T218" s="6"/>
      <c r="U218" s="28" t="str">
        <f>HYPERLINK("https://media.infra-m.ru/1894/1894479/cover/1894479.jpg", "Обложка")</f>
        <v>Обложка</v>
      </c>
      <c r="V218" s="28" t="str">
        <f>HYPERLINK("https://znanium.com/catalog/product/1149108", "Ознакомиться")</f>
        <v>Ознакомиться</v>
      </c>
      <c r="W218" s="8" t="s">
        <v>216</v>
      </c>
      <c r="X218" s="6"/>
      <c r="Y218" s="6"/>
      <c r="Z218" s="6"/>
      <c r="AA218" s="6" t="s">
        <v>100</v>
      </c>
    </row>
    <row r="219" spans="1:27" s="4" customFormat="1" ht="51.95" customHeight="1">
      <c r="A219" s="5">
        <v>0</v>
      </c>
      <c r="B219" s="6" t="s">
        <v>1546</v>
      </c>
      <c r="C219" s="13">
        <v>470</v>
      </c>
      <c r="D219" s="8" t="s">
        <v>1547</v>
      </c>
      <c r="E219" s="8" t="s">
        <v>1548</v>
      </c>
      <c r="F219" s="8" t="s">
        <v>1549</v>
      </c>
      <c r="G219" s="6" t="s">
        <v>52</v>
      </c>
      <c r="H219" s="6" t="s">
        <v>207</v>
      </c>
      <c r="I219" s="8" t="s">
        <v>298</v>
      </c>
      <c r="J219" s="9">
        <v>1</v>
      </c>
      <c r="K219" s="9">
        <v>97</v>
      </c>
      <c r="L219" s="9">
        <v>2023</v>
      </c>
      <c r="M219" s="8" t="s">
        <v>1550</v>
      </c>
      <c r="N219" s="8" t="s">
        <v>41</v>
      </c>
      <c r="O219" s="8" t="s">
        <v>64</v>
      </c>
      <c r="P219" s="6" t="s">
        <v>65</v>
      </c>
      <c r="Q219" s="8" t="s">
        <v>189</v>
      </c>
      <c r="R219" s="10" t="s">
        <v>1551</v>
      </c>
      <c r="S219" s="11" t="s">
        <v>1552</v>
      </c>
      <c r="T219" s="6"/>
      <c r="U219" s="28" t="str">
        <f>HYPERLINK("https://media.infra-m.ru/1807/1807365/cover/1807365.jpg", "Обложка")</f>
        <v>Обложка</v>
      </c>
      <c r="V219" s="28" t="str">
        <f>HYPERLINK("https://znanium.com/catalog/product/1807365", "Ознакомиться")</f>
        <v>Ознакомиться</v>
      </c>
      <c r="W219" s="8" t="s">
        <v>1553</v>
      </c>
      <c r="X219" s="6"/>
      <c r="Y219" s="6"/>
      <c r="Z219" s="6"/>
      <c r="AA219" s="6" t="s">
        <v>1367</v>
      </c>
    </row>
    <row r="220" spans="1:27" s="4" customFormat="1" ht="51.95" customHeight="1">
      <c r="A220" s="5">
        <v>0</v>
      </c>
      <c r="B220" s="6" t="s">
        <v>1554</v>
      </c>
      <c r="C220" s="13">
        <v>724</v>
      </c>
      <c r="D220" s="8" t="s">
        <v>1555</v>
      </c>
      <c r="E220" s="8" t="s">
        <v>1556</v>
      </c>
      <c r="F220" s="8" t="s">
        <v>1557</v>
      </c>
      <c r="G220" s="6" t="s">
        <v>52</v>
      </c>
      <c r="H220" s="6" t="s">
        <v>38</v>
      </c>
      <c r="I220" s="8" t="s">
        <v>62</v>
      </c>
      <c r="J220" s="9">
        <v>1</v>
      </c>
      <c r="K220" s="9">
        <v>158</v>
      </c>
      <c r="L220" s="9">
        <v>2024</v>
      </c>
      <c r="M220" s="8" t="s">
        <v>1558</v>
      </c>
      <c r="N220" s="8" t="s">
        <v>41</v>
      </c>
      <c r="O220" s="8" t="s">
        <v>54</v>
      </c>
      <c r="P220" s="6" t="s">
        <v>65</v>
      </c>
      <c r="Q220" s="8" t="s">
        <v>66</v>
      </c>
      <c r="R220" s="10" t="s">
        <v>1559</v>
      </c>
      <c r="S220" s="11" t="s">
        <v>581</v>
      </c>
      <c r="T220" s="6"/>
      <c r="U220" s="28" t="str">
        <f>HYPERLINK("https://media.infra-m.ru/2084/2084550/cover/2084550.jpg", "Обложка")</f>
        <v>Обложка</v>
      </c>
      <c r="V220" s="28" t="str">
        <f>HYPERLINK("https://znanium.com/catalog/product/925774", "Ознакомиться")</f>
        <v>Ознакомиться</v>
      </c>
      <c r="W220" s="8" t="s">
        <v>699</v>
      </c>
      <c r="X220" s="6"/>
      <c r="Y220" s="6"/>
      <c r="Z220" s="6"/>
      <c r="AA220" s="6" t="s">
        <v>161</v>
      </c>
    </row>
    <row r="221" spans="1:27" s="4" customFormat="1" ht="51.95" customHeight="1">
      <c r="A221" s="5">
        <v>0</v>
      </c>
      <c r="B221" s="6" t="s">
        <v>1560</v>
      </c>
      <c r="C221" s="7">
        <v>2294.9</v>
      </c>
      <c r="D221" s="8" t="s">
        <v>1561</v>
      </c>
      <c r="E221" s="8" t="s">
        <v>1562</v>
      </c>
      <c r="F221" s="8" t="s">
        <v>139</v>
      </c>
      <c r="G221" s="6" t="s">
        <v>121</v>
      </c>
      <c r="H221" s="6" t="s">
        <v>38</v>
      </c>
      <c r="I221" s="8" t="s">
        <v>62</v>
      </c>
      <c r="J221" s="9">
        <v>1</v>
      </c>
      <c r="K221" s="9">
        <v>592</v>
      </c>
      <c r="L221" s="9">
        <v>2023</v>
      </c>
      <c r="M221" s="8" t="s">
        <v>1563</v>
      </c>
      <c r="N221" s="8" t="s">
        <v>41</v>
      </c>
      <c r="O221" s="8" t="s">
        <v>54</v>
      </c>
      <c r="P221" s="6" t="s">
        <v>65</v>
      </c>
      <c r="Q221" s="8" t="s">
        <v>66</v>
      </c>
      <c r="R221" s="10" t="s">
        <v>1564</v>
      </c>
      <c r="S221" s="11"/>
      <c r="T221" s="6"/>
      <c r="U221" s="28" t="str">
        <f>HYPERLINK("https://media.infra-m.ru/1907/1907364/cover/1907364.jpg", "Обложка")</f>
        <v>Обложка</v>
      </c>
      <c r="V221" s="28" t="str">
        <f>HYPERLINK("https://znanium.com/catalog/product/1907364", "Ознакомиться")</f>
        <v>Ознакомиться</v>
      </c>
      <c r="W221" s="8" t="s">
        <v>143</v>
      </c>
      <c r="X221" s="6"/>
      <c r="Y221" s="6"/>
      <c r="Z221" s="6"/>
      <c r="AA221" s="6" t="s">
        <v>674</v>
      </c>
    </row>
    <row r="222" spans="1:27" s="4" customFormat="1" ht="51.95" customHeight="1">
      <c r="A222" s="5">
        <v>0</v>
      </c>
      <c r="B222" s="6" t="s">
        <v>1565</v>
      </c>
      <c r="C222" s="7">
        <v>1584</v>
      </c>
      <c r="D222" s="8" t="s">
        <v>1566</v>
      </c>
      <c r="E222" s="8" t="s">
        <v>1567</v>
      </c>
      <c r="F222" s="8" t="s">
        <v>1568</v>
      </c>
      <c r="G222" s="6" t="s">
        <v>121</v>
      </c>
      <c r="H222" s="6" t="s">
        <v>38</v>
      </c>
      <c r="I222" s="8" t="s">
        <v>62</v>
      </c>
      <c r="J222" s="9">
        <v>1</v>
      </c>
      <c r="K222" s="9">
        <v>352</v>
      </c>
      <c r="L222" s="9">
        <v>2023</v>
      </c>
      <c r="M222" s="8" t="s">
        <v>1569</v>
      </c>
      <c r="N222" s="8" t="s">
        <v>41</v>
      </c>
      <c r="O222" s="8" t="s">
        <v>54</v>
      </c>
      <c r="P222" s="6" t="s">
        <v>65</v>
      </c>
      <c r="Q222" s="8" t="s">
        <v>66</v>
      </c>
      <c r="R222" s="10" t="s">
        <v>1570</v>
      </c>
      <c r="S222" s="11"/>
      <c r="T222" s="6"/>
      <c r="U222" s="28" t="str">
        <f>HYPERLINK("https://media.infra-m.ru/1981/1981598/cover/1981598.jpg", "Обложка")</f>
        <v>Обложка</v>
      </c>
      <c r="V222" s="28" t="str">
        <f>HYPERLINK("https://znanium.com/catalog/product/1981598", "Ознакомиться")</f>
        <v>Ознакомиться</v>
      </c>
      <c r="W222" s="8" t="s">
        <v>143</v>
      </c>
      <c r="X222" s="6"/>
      <c r="Y222" s="6"/>
      <c r="Z222" s="6"/>
      <c r="AA222" s="6" t="s">
        <v>57</v>
      </c>
    </row>
    <row r="223" spans="1:27" s="4" customFormat="1" ht="51.95" customHeight="1">
      <c r="A223" s="5">
        <v>0</v>
      </c>
      <c r="B223" s="6" t="s">
        <v>1571</v>
      </c>
      <c r="C223" s="7">
        <v>2094.9</v>
      </c>
      <c r="D223" s="8" t="s">
        <v>1572</v>
      </c>
      <c r="E223" s="8" t="s">
        <v>1573</v>
      </c>
      <c r="F223" s="8" t="s">
        <v>1574</v>
      </c>
      <c r="G223" s="6" t="s">
        <v>121</v>
      </c>
      <c r="H223" s="6" t="s">
        <v>679</v>
      </c>
      <c r="I223" s="8"/>
      <c r="J223" s="9">
        <v>1</v>
      </c>
      <c r="K223" s="9">
        <v>544</v>
      </c>
      <c r="L223" s="9">
        <v>2023</v>
      </c>
      <c r="M223" s="8" t="s">
        <v>1575</v>
      </c>
      <c r="N223" s="8" t="s">
        <v>41</v>
      </c>
      <c r="O223" s="8" t="s">
        <v>54</v>
      </c>
      <c r="P223" s="6" t="s">
        <v>65</v>
      </c>
      <c r="Q223" s="8" t="s">
        <v>66</v>
      </c>
      <c r="R223" s="10" t="s">
        <v>1576</v>
      </c>
      <c r="S223" s="11" t="s">
        <v>1577</v>
      </c>
      <c r="T223" s="6"/>
      <c r="U223" s="28" t="str">
        <f>HYPERLINK("https://media.infra-m.ru/1910/1910872/cover/1910872.jpg", "Обложка")</f>
        <v>Обложка</v>
      </c>
      <c r="V223" s="28" t="str">
        <f>HYPERLINK("https://znanium.com/catalog/product/1910872", "Ознакомиться")</f>
        <v>Ознакомиться</v>
      </c>
      <c r="W223" s="8" t="s">
        <v>1578</v>
      </c>
      <c r="X223" s="6"/>
      <c r="Y223" s="6"/>
      <c r="Z223" s="6"/>
      <c r="AA223" s="6" t="s">
        <v>1579</v>
      </c>
    </row>
    <row r="224" spans="1:27" s="4" customFormat="1" ht="51.95" customHeight="1">
      <c r="A224" s="5">
        <v>0</v>
      </c>
      <c r="B224" s="6" t="s">
        <v>1580</v>
      </c>
      <c r="C224" s="7">
        <v>1434</v>
      </c>
      <c r="D224" s="8" t="s">
        <v>1581</v>
      </c>
      <c r="E224" s="8" t="s">
        <v>1582</v>
      </c>
      <c r="F224" s="8" t="s">
        <v>1583</v>
      </c>
      <c r="G224" s="6" t="s">
        <v>121</v>
      </c>
      <c r="H224" s="6" t="s">
        <v>38</v>
      </c>
      <c r="I224" s="8" t="s">
        <v>62</v>
      </c>
      <c r="J224" s="9">
        <v>1</v>
      </c>
      <c r="K224" s="9">
        <v>318</v>
      </c>
      <c r="L224" s="9">
        <v>2023</v>
      </c>
      <c r="M224" s="8" t="s">
        <v>1584</v>
      </c>
      <c r="N224" s="8" t="s">
        <v>41</v>
      </c>
      <c r="O224" s="8" t="s">
        <v>54</v>
      </c>
      <c r="P224" s="6" t="s">
        <v>65</v>
      </c>
      <c r="Q224" s="8" t="s">
        <v>66</v>
      </c>
      <c r="R224" s="10" t="s">
        <v>1585</v>
      </c>
      <c r="S224" s="11" t="s">
        <v>1586</v>
      </c>
      <c r="T224" s="6"/>
      <c r="U224" s="28" t="str">
        <f>HYPERLINK("https://media.infra-m.ru/2045/2045820/cover/2045820.jpg", "Обложка")</f>
        <v>Обложка</v>
      </c>
      <c r="V224" s="28" t="str">
        <f>HYPERLINK("https://znanium.com/catalog/product/2045820", "Ознакомиться")</f>
        <v>Ознакомиться</v>
      </c>
      <c r="W224" s="8" t="s">
        <v>216</v>
      </c>
      <c r="X224" s="6"/>
      <c r="Y224" s="6"/>
      <c r="Z224" s="6"/>
      <c r="AA224" s="6" t="s">
        <v>47</v>
      </c>
    </row>
    <row r="225" spans="1:27" s="4" customFormat="1" ht="51.95" customHeight="1">
      <c r="A225" s="5">
        <v>0</v>
      </c>
      <c r="B225" s="6" t="s">
        <v>1587</v>
      </c>
      <c r="C225" s="13">
        <v>690</v>
      </c>
      <c r="D225" s="8" t="s">
        <v>1588</v>
      </c>
      <c r="E225" s="8" t="s">
        <v>1589</v>
      </c>
      <c r="F225" s="8" t="s">
        <v>1590</v>
      </c>
      <c r="G225" s="6" t="s">
        <v>52</v>
      </c>
      <c r="H225" s="6" t="s">
        <v>38</v>
      </c>
      <c r="I225" s="8" t="s">
        <v>130</v>
      </c>
      <c r="J225" s="9">
        <v>1</v>
      </c>
      <c r="K225" s="9">
        <v>132</v>
      </c>
      <c r="L225" s="9">
        <v>2024</v>
      </c>
      <c r="M225" s="8" t="s">
        <v>1591</v>
      </c>
      <c r="N225" s="8" t="s">
        <v>41</v>
      </c>
      <c r="O225" s="8" t="s">
        <v>54</v>
      </c>
      <c r="P225" s="6" t="s">
        <v>65</v>
      </c>
      <c r="Q225" s="8" t="s">
        <v>66</v>
      </c>
      <c r="R225" s="10" t="s">
        <v>1592</v>
      </c>
      <c r="S225" s="11" t="s">
        <v>1593</v>
      </c>
      <c r="T225" s="6"/>
      <c r="U225" s="28" t="str">
        <f>HYPERLINK("https://media.infra-m.ru/2082/2082848/cover/2082848.jpg", "Обложка")</f>
        <v>Обложка</v>
      </c>
      <c r="V225" s="28" t="str">
        <f>HYPERLINK("https://znanium.com/catalog/product/2082848", "Ознакомиться")</f>
        <v>Ознакомиться</v>
      </c>
      <c r="W225" s="8" t="s">
        <v>558</v>
      </c>
      <c r="X225" s="6"/>
      <c r="Y225" s="6"/>
      <c r="Z225" s="6"/>
      <c r="AA225" s="6" t="s">
        <v>320</v>
      </c>
    </row>
    <row r="226" spans="1:27" s="4" customFormat="1" ht="51.95" customHeight="1">
      <c r="A226" s="5">
        <v>0</v>
      </c>
      <c r="B226" s="6" t="s">
        <v>1594</v>
      </c>
      <c r="C226" s="7">
        <v>1200</v>
      </c>
      <c r="D226" s="8" t="s">
        <v>1595</v>
      </c>
      <c r="E226" s="8" t="s">
        <v>1596</v>
      </c>
      <c r="F226" s="8" t="s">
        <v>1597</v>
      </c>
      <c r="G226" s="6" t="s">
        <v>121</v>
      </c>
      <c r="H226" s="6" t="s">
        <v>38</v>
      </c>
      <c r="I226" s="8" t="s">
        <v>62</v>
      </c>
      <c r="J226" s="9">
        <v>1</v>
      </c>
      <c r="K226" s="9">
        <v>284</v>
      </c>
      <c r="L226" s="9">
        <v>2022</v>
      </c>
      <c r="M226" s="8" t="s">
        <v>1598</v>
      </c>
      <c r="N226" s="8" t="s">
        <v>41</v>
      </c>
      <c r="O226" s="8" t="s">
        <v>64</v>
      </c>
      <c r="P226" s="6" t="s">
        <v>85</v>
      </c>
      <c r="Q226" s="8" t="s">
        <v>66</v>
      </c>
      <c r="R226" s="10" t="s">
        <v>1599</v>
      </c>
      <c r="S226" s="11" t="s">
        <v>1600</v>
      </c>
      <c r="T226" s="6"/>
      <c r="U226" s="28" t="str">
        <f>HYPERLINK("https://media.infra-m.ru/0973/0973603/cover/973603.jpg", "Обложка")</f>
        <v>Обложка</v>
      </c>
      <c r="V226" s="28" t="str">
        <f>HYPERLINK("https://znanium.com/catalog/product/973603", "Ознакомиться")</f>
        <v>Ознакомиться</v>
      </c>
      <c r="W226" s="8" t="s">
        <v>814</v>
      </c>
      <c r="X226" s="6"/>
      <c r="Y226" s="6"/>
      <c r="Z226" s="6"/>
      <c r="AA226" s="6" t="s">
        <v>78</v>
      </c>
    </row>
    <row r="227" spans="1:27" s="4" customFormat="1" ht="42" customHeight="1">
      <c r="A227" s="5">
        <v>0</v>
      </c>
      <c r="B227" s="6" t="s">
        <v>1601</v>
      </c>
      <c r="C227" s="13">
        <v>840</v>
      </c>
      <c r="D227" s="8" t="s">
        <v>1602</v>
      </c>
      <c r="E227" s="8" t="s">
        <v>1603</v>
      </c>
      <c r="F227" s="8" t="s">
        <v>1604</v>
      </c>
      <c r="G227" s="6" t="s">
        <v>52</v>
      </c>
      <c r="H227" s="6" t="s">
        <v>38</v>
      </c>
      <c r="I227" s="8" t="s">
        <v>39</v>
      </c>
      <c r="J227" s="9">
        <v>1</v>
      </c>
      <c r="K227" s="9">
        <v>227</v>
      </c>
      <c r="L227" s="9">
        <v>2021</v>
      </c>
      <c r="M227" s="8" t="s">
        <v>1605</v>
      </c>
      <c r="N227" s="8" t="s">
        <v>41</v>
      </c>
      <c r="O227" s="8" t="s">
        <v>64</v>
      </c>
      <c r="P227" s="6" t="s">
        <v>43</v>
      </c>
      <c r="Q227" s="8" t="s">
        <v>44</v>
      </c>
      <c r="R227" s="10" t="s">
        <v>805</v>
      </c>
      <c r="S227" s="11"/>
      <c r="T227" s="6"/>
      <c r="U227" s="28" t="str">
        <f>HYPERLINK("https://media.infra-m.ru/1220/1220790/cover/1220790.jpg", "Обложка")</f>
        <v>Обложка</v>
      </c>
      <c r="V227" s="28" t="str">
        <f>HYPERLINK("https://znanium.com/catalog/product/1220790", "Ознакомиться")</f>
        <v>Ознакомиться</v>
      </c>
      <c r="W227" s="8" t="s">
        <v>730</v>
      </c>
      <c r="X227" s="6"/>
      <c r="Y227" s="6"/>
      <c r="Z227" s="6"/>
      <c r="AA227" s="6" t="s">
        <v>70</v>
      </c>
    </row>
    <row r="228" spans="1:27" s="4" customFormat="1" ht="51.95" customHeight="1">
      <c r="A228" s="5">
        <v>0</v>
      </c>
      <c r="B228" s="6" t="s">
        <v>1606</v>
      </c>
      <c r="C228" s="7">
        <v>1620</v>
      </c>
      <c r="D228" s="8" t="s">
        <v>1607</v>
      </c>
      <c r="E228" s="8" t="s">
        <v>1608</v>
      </c>
      <c r="F228" s="8" t="s">
        <v>726</v>
      </c>
      <c r="G228" s="6" t="s">
        <v>37</v>
      </c>
      <c r="H228" s="6" t="s">
        <v>38</v>
      </c>
      <c r="I228" s="8" t="s">
        <v>62</v>
      </c>
      <c r="J228" s="9">
        <v>1</v>
      </c>
      <c r="K228" s="9">
        <v>359</v>
      </c>
      <c r="L228" s="9">
        <v>2023</v>
      </c>
      <c r="M228" s="8" t="s">
        <v>1609</v>
      </c>
      <c r="N228" s="8" t="s">
        <v>41</v>
      </c>
      <c r="O228" s="8" t="s">
        <v>64</v>
      </c>
      <c r="P228" s="6" t="s">
        <v>85</v>
      </c>
      <c r="Q228" s="8" t="s">
        <v>66</v>
      </c>
      <c r="R228" s="10" t="s">
        <v>1599</v>
      </c>
      <c r="S228" s="11" t="s">
        <v>1610</v>
      </c>
      <c r="T228" s="6"/>
      <c r="U228" s="28" t="str">
        <f>HYPERLINK("https://media.infra-m.ru/1873/1873976/cover/1873976.jpg", "Обложка")</f>
        <v>Обложка</v>
      </c>
      <c r="V228" s="28" t="str">
        <f>HYPERLINK("https://znanium.com/catalog/product/1873976", "Ознакомиться")</f>
        <v>Ознакомиться</v>
      </c>
      <c r="W228" s="8" t="s">
        <v>730</v>
      </c>
      <c r="X228" s="6"/>
      <c r="Y228" s="6"/>
      <c r="Z228" s="6"/>
      <c r="AA228" s="6" t="s">
        <v>144</v>
      </c>
    </row>
    <row r="229" spans="1:27" s="4" customFormat="1" ht="51.95" customHeight="1">
      <c r="A229" s="5">
        <v>0</v>
      </c>
      <c r="B229" s="6" t="s">
        <v>1611</v>
      </c>
      <c r="C229" s="7">
        <v>1470</v>
      </c>
      <c r="D229" s="8" t="s">
        <v>1612</v>
      </c>
      <c r="E229" s="8" t="s">
        <v>1613</v>
      </c>
      <c r="F229" s="8" t="s">
        <v>1614</v>
      </c>
      <c r="G229" s="6" t="s">
        <v>52</v>
      </c>
      <c r="H229" s="6" t="s">
        <v>38</v>
      </c>
      <c r="I229" s="8" t="s">
        <v>39</v>
      </c>
      <c r="J229" s="9">
        <v>1</v>
      </c>
      <c r="K229" s="9">
        <v>319</v>
      </c>
      <c r="L229" s="9">
        <v>2024</v>
      </c>
      <c r="M229" s="8" t="s">
        <v>1615</v>
      </c>
      <c r="N229" s="8" t="s">
        <v>41</v>
      </c>
      <c r="O229" s="8" t="s">
        <v>97</v>
      </c>
      <c r="P229" s="6" t="s">
        <v>43</v>
      </c>
      <c r="Q229" s="8" t="s">
        <v>44</v>
      </c>
      <c r="R229" s="10" t="s">
        <v>1616</v>
      </c>
      <c r="S229" s="11"/>
      <c r="T229" s="6"/>
      <c r="U229" s="28" t="str">
        <f>HYPERLINK("https://media.infra-m.ru/2052/2052394/cover/2052394.jpg", "Обложка")</f>
        <v>Обложка</v>
      </c>
      <c r="V229" s="28" t="str">
        <f>HYPERLINK("https://znanium.com/catalog/product/2052394", "Ознакомиться")</f>
        <v>Ознакомиться</v>
      </c>
      <c r="W229" s="8"/>
      <c r="X229" s="6"/>
      <c r="Y229" s="6"/>
      <c r="Z229" s="6"/>
      <c r="AA229" s="6" t="s">
        <v>320</v>
      </c>
    </row>
    <row r="230" spans="1:27" s="4" customFormat="1" ht="51.95" customHeight="1">
      <c r="A230" s="5">
        <v>0</v>
      </c>
      <c r="B230" s="6" t="s">
        <v>1617</v>
      </c>
      <c r="C230" s="7">
        <v>1200</v>
      </c>
      <c r="D230" s="8" t="s">
        <v>1618</v>
      </c>
      <c r="E230" s="8" t="s">
        <v>1619</v>
      </c>
      <c r="F230" s="8" t="s">
        <v>1620</v>
      </c>
      <c r="G230" s="6" t="s">
        <v>37</v>
      </c>
      <c r="H230" s="6" t="s">
        <v>207</v>
      </c>
      <c r="I230" s="8" t="s">
        <v>83</v>
      </c>
      <c r="J230" s="9">
        <v>1</v>
      </c>
      <c r="K230" s="9">
        <v>312</v>
      </c>
      <c r="L230" s="9">
        <v>2019</v>
      </c>
      <c r="M230" s="8" t="s">
        <v>1621</v>
      </c>
      <c r="N230" s="8" t="s">
        <v>41</v>
      </c>
      <c r="O230" s="8" t="s">
        <v>42</v>
      </c>
      <c r="P230" s="6" t="s">
        <v>65</v>
      </c>
      <c r="Q230" s="8" t="s">
        <v>86</v>
      </c>
      <c r="R230" s="10" t="s">
        <v>1622</v>
      </c>
      <c r="S230" s="11"/>
      <c r="T230" s="6"/>
      <c r="U230" s="28" t="str">
        <f>HYPERLINK("https://media.infra-m.ru/1008/1008541/cover/1008541.jpg", "Обложка")</f>
        <v>Обложка</v>
      </c>
      <c r="V230" s="28" t="str">
        <f>HYPERLINK("https://znanium.com/catalog/product/2110932", "Ознакомиться")</f>
        <v>Ознакомиться</v>
      </c>
      <c r="W230" s="8" t="s">
        <v>1623</v>
      </c>
      <c r="X230" s="6"/>
      <c r="Y230" s="6"/>
      <c r="Z230" s="6"/>
      <c r="AA230" s="6" t="s">
        <v>667</v>
      </c>
    </row>
    <row r="231" spans="1:27" s="4" customFormat="1" ht="42" customHeight="1">
      <c r="A231" s="5">
        <v>0</v>
      </c>
      <c r="B231" s="6" t="s">
        <v>1624</v>
      </c>
      <c r="C231" s="7">
        <v>1950</v>
      </c>
      <c r="D231" s="8" t="s">
        <v>1625</v>
      </c>
      <c r="E231" s="8" t="s">
        <v>1626</v>
      </c>
      <c r="F231" s="8" t="s">
        <v>1627</v>
      </c>
      <c r="G231" s="6" t="s">
        <v>121</v>
      </c>
      <c r="H231" s="6" t="s">
        <v>38</v>
      </c>
      <c r="I231" s="8" t="s">
        <v>130</v>
      </c>
      <c r="J231" s="9">
        <v>1</v>
      </c>
      <c r="K231" s="9">
        <v>418</v>
      </c>
      <c r="L231" s="9">
        <v>2023</v>
      </c>
      <c r="M231" s="8" t="s">
        <v>1628</v>
      </c>
      <c r="N231" s="8" t="s">
        <v>41</v>
      </c>
      <c r="O231" s="8" t="s">
        <v>54</v>
      </c>
      <c r="P231" s="6" t="s">
        <v>85</v>
      </c>
      <c r="Q231" s="8" t="s">
        <v>66</v>
      </c>
      <c r="R231" s="10" t="s">
        <v>1629</v>
      </c>
      <c r="S231" s="11"/>
      <c r="T231" s="6"/>
      <c r="U231" s="28" t="str">
        <f>HYPERLINK("https://media.infra-m.ru/1856/1856361/cover/1856361.jpg", "Обложка")</f>
        <v>Обложка</v>
      </c>
      <c r="V231" s="28" t="str">
        <f>HYPERLINK("https://znanium.com/catalog/product/1856361", "Ознакомиться")</f>
        <v>Ознакомиться</v>
      </c>
      <c r="W231" s="8" t="s">
        <v>784</v>
      </c>
      <c r="X231" s="6" t="s">
        <v>1630</v>
      </c>
      <c r="Y231" s="6"/>
      <c r="Z231" s="6"/>
      <c r="AA231" s="6" t="s">
        <v>574</v>
      </c>
    </row>
    <row r="232" spans="1:27" s="4" customFormat="1" ht="42" customHeight="1">
      <c r="A232" s="5">
        <v>0</v>
      </c>
      <c r="B232" s="6" t="s">
        <v>1631</v>
      </c>
      <c r="C232" s="7">
        <v>1440</v>
      </c>
      <c r="D232" s="8" t="s">
        <v>1632</v>
      </c>
      <c r="E232" s="8" t="s">
        <v>1633</v>
      </c>
      <c r="F232" s="8" t="s">
        <v>1634</v>
      </c>
      <c r="G232" s="6" t="s">
        <v>37</v>
      </c>
      <c r="H232" s="6" t="s">
        <v>38</v>
      </c>
      <c r="I232" s="8" t="s">
        <v>39</v>
      </c>
      <c r="J232" s="9">
        <v>1</v>
      </c>
      <c r="K232" s="9">
        <v>313</v>
      </c>
      <c r="L232" s="9">
        <v>2024</v>
      </c>
      <c r="M232" s="8" t="s">
        <v>1635</v>
      </c>
      <c r="N232" s="8" t="s">
        <v>41</v>
      </c>
      <c r="O232" s="8" t="s">
        <v>54</v>
      </c>
      <c r="P232" s="6" t="s">
        <v>43</v>
      </c>
      <c r="Q232" s="8" t="s">
        <v>44</v>
      </c>
      <c r="R232" s="10" t="s">
        <v>1636</v>
      </c>
      <c r="S232" s="11"/>
      <c r="T232" s="6"/>
      <c r="U232" s="28" t="str">
        <f>HYPERLINK("https://media.infra-m.ru/2069/2069296/cover/2069296.jpg", "Обложка")</f>
        <v>Обложка</v>
      </c>
      <c r="V232" s="28" t="str">
        <f>HYPERLINK("https://znanium.com/catalog/product/2069296", "Ознакомиться")</f>
        <v>Ознакомиться</v>
      </c>
      <c r="W232" s="8"/>
      <c r="X232" s="6"/>
      <c r="Y232" s="6"/>
      <c r="Z232" s="6"/>
      <c r="AA232" s="6" t="s">
        <v>57</v>
      </c>
    </row>
    <row r="233" spans="1:27" s="4" customFormat="1" ht="51.95" customHeight="1">
      <c r="A233" s="5">
        <v>0</v>
      </c>
      <c r="B233" s="6" t="s">
        <v>1637</v>
      </c>
      <c r="C233" s="7">
        <v>1070</v>
      </c>
      <c r="D233" s="8" t="s">
        <v>1638</v>
      </c>
      <c r="E233" s="8" t="s">
        <v>1639</v>
      </c>
      <c r="F233" s="8" t="s">
        <v>1640</v>
      </c>
      <c r="G233" s="6" t="s">
        <v>52</v>
      </c>
      <c r="H233" s="6" t="s">
        <v>38</v>
      </c>
      <c r="I233" s="8" t="s">
        <v>39</v>
      </c>
      <c r="J233" s="9">
        <v>1</v>
      </c>
      <c r="K233" s="9">
        <v>229</v>
      </c>
      <c r="L233" s="9">
        <v>2023</v>
      </c>
      <c r="M233" s="8" t="s">
        <v>1641</v>
      </c>
      <c r="N233" s="8" t="s">
        <v>41</v>
      </c>
      <c r="O233" s="8" t="s">
        <v>54</v>
      </c>
      <c r="P233" s="6" t="s">
        <v>43</v>
      </c>
      <c r="Q233" s="8" t="s">
        <v>44</v>
      </c>
      <c r="R233" s="10" t="s">
        <v>1642</v>
      </c>
      <c r="S233" s="11"/>
      <c r="T233" s="6"/>
      <c r="U233" s="28" t="str">
        <f>HYPERLINK("https://media.infra-m.ru/1906/1906037/cover/1906037.jpg", "Обложка")</f>
        <v>Обложка</v>
      </c>
      <c r="V233" s="28" t="str">
        <f>HYPERLINK("https://znanium.com/catalog/product/1906037", "Ознакомиться")</f>
        <v>Ознакомиться</v>
      </c>
      <c r="W233" s="8" t="s">
        <v>1643</v>
      </c>
      <c r="X233" s="6" t="s">
        <v>381</v>
      </c>
      <c r="Y233" s="6"/>
      <c r="Z233" s="6"/>
      <c r="AA233" s="6" t="s">
        <v>574</v>
      </c>
    </row>
    <row r="234" spans="1:27" s="4" customFormat="1" ht="51.95" customHeight="1">
      <c r="A234" s="5">
        <v>0</v>
      </c>
      <c r="B234" s="6" t="s">
        <v>1644</v>
      </c>
      <c r="C234" s="7">
        <v>1414.9</v>
      </c>
      <c r="D234" s="8" t="s">
        <v>1645</v>
      </c>
      <c r="E234" s="8" t="s">
        <v>1646</v>
      </c>
      <c r="F234" s="8" t="s">
        <v>1647</v>
      </c>
      <c r="G234" s="6" t="s">
        <v>37</v>
      </c>
      <c r="H234" s="6" t="s">
        <v>38</v>
      </c>
      <c r="I234" s="8" t="s">
        <v>62</v>
      </c>
      <c r="J234" s="9">
        <v>1</v>
      </c>
      <c r="K234" s="9">
        <v>372</v>
      </c>
      <c r="L234" s="9">
        <v>2022</v>
      </c>
      <c r="M234" s="8" t="s">
        <v>1648</v>
      </c>
      <c r="N234" s="8" t="s">
        <v>41</v>
      </c>
      <c r="O234" s="8" t="s">
        <v>54</v>
      </c>
      <c r="P234" s="6" t="s">
        <v>65</v>
      </c>
      <c r="Q234" s="8" t="s">
        <v>66</v>
      </c>
      <c r="R234" s="10" t="s">
        <v>697</v>
      </c>
      <c r="S234" s="11" t="s">
        <v>1649</v>
      </c>
      <c r="T234" s="6"/>
      <c r="U234" s="28" t="str">
        <f>HYPERLINK("https://media.infra-m.ru/1836/1836603/cover/1836603.jpg", "Обложка")</f>
        <v>Обложка</v>
      </c>
      <c r="V234" s="28" t="str">
        <f>HYPERLINK("https://znanium.com/catalog/product/1588756", "Ознакомиться")</f>
        <v>Ознакомиться</v>
      </c>
      <c r="W234" s="8" t="s">
        <v>169</v>
      </c>
      <c r="X234" s="6"/>
      <c r="Y234" s="6"/>
      <c r="Z234" s="6"/>
      <c r="AA234" s="6" t="s">
        <v>202</v>
      </c>
    </row>
    <row r="235" spans="1:27" s="4" customFormat="1" ht="51.95" customHeight="1">
      <c r="A235" s="5">
        <v>0</v>
      </c>
      <c r="B235" s="6" t="s">
        <v>1650</v>
      </c>
      <c r="C235" s="13">
        <v>630</v>
      </c>
      <c r="D235" s="8" t="s">
        <v>1651</v>
      </c>
      <c r="E235" s="8" t="s">
        <v>1652</v>
      </c>
      <c r="F235" s="8" t="s">
        <v>1653</v>
      </c>
      <c r="G235" s="6" t="s">
        <v>52</v>
      </c>
      <c r="H235" s="6" t="s">
        <v>38</v>
      </c>
      <c r="I235" s="8" t="s">
        <v>187</v>
      </c>
      <c r="J235" s="9">
        <v>1</v>
      </c>
      <c r="K235" s="9">
        <v>136</v>
      </c>
      <c r="L235" s="9">
        <v>2024</v>
      </c>
      <c r="M235" s="8" t="s">
        <v>1654</v>
      </c>
      <c r="N235" s="8" t="s">
        <v>41</v>
      </c>
      <c r="O235" s="8" t="s">
        <v>54</v>
      </c>
      <c r="P235" s="6" t="s">
        <v>85</v>
      </c>
      <c r="Q235" s="8" t="s">
        <v>189</v>
      </c>
      <c r="R235" s="10" t="s">
        <v>1655</v>
      </c>
      <c r="S235" s="11" t="s">
        <v>1656</v>
      </c>
      <c r="T235" s="6"/>
      <c r="U235" s="28" t="str">
        <f>HYPERLINK("https://media.infra-m.ru/2100/2100013/cover/2100013.jpg", "Обложка")</f>
        <v>Обложка</v>
      </c>
      <c r="V235" s="28" t="str">
        <f>HYPERLINK("https://znanium.com/catalog/product/2100013", "Ознакомиться")</f>
        <v>Ознакомиться</v>
      </c>
      <c r="W235" s="8" t="s">
        <v>753</v>
      </c>
      <c r="X235" s="6"/>
      <c r="Y235" s="6"/>
      <c r="Z235" s="6"/>
      <c r="AA235" s="6" t="s">
        <v>254</v>
      </c>
    </row>
    <row r="236" spans="1:27" s="4" customFormat="1" ht="51.95" customHeight="1">
      <c r="A236" s="5">
        <v>0</v>
      </c>
      <c r="B236" s="6" t="s">
        <v>1657</v>
      </c>
      <c r="C236" s="7">
        <v>2114.9</v>
      </c>
      <c r="D236" s="8" t="s">
        <v>1658</v>
      </c>
      <c r="E236" s="8" t="s">
        <v>1659</v>
      </c>
      <c r="F236" s="8" t="s">
        <v>1660</v>
      </c>
      <c r="G236" s="6" t="s">
        <v>121</v>
      </c>
      <c r="H236" s="6" t="s">
        <v>264</v>
      </c>
      <c r="I236" s="8" t="s">
        <v>963</v>
      </c>
      <c r="J236" s="9">
        <v>1</v>
      </c>
      <c r="K236" s="9">
        <v>520</v>
      </c>
      <c r="L236" s="9">
        <v>2023</v>
      </c>
      <c r="M236" s="8" t="s">
        <v>1661</v>
      </c>
      <c r="N236" s="8" t="s">
        <v>41</v>
      </c>
      <c r="O236" s="8" t="s">
        <v>54</v>
      </c>
      <c r="P236" s="6" t="s">
        <v>65</v>
      </c>
      <c r="Q236" s="8" t="s">
        <v>66</v>
      </c>
      <c r="R236" s="10" t="s">
        <v>1662</v>
      </c>
      <c r="S236" s="11" t="s">
        <v>1663</v>
      </c>
      <c r="T236" s="6"/>
      <c r="U236" s="28" t="str">
        <f>HYPERLINK("https://media.infra-m.ru/1897/1897691/cover/1897691.jpg", "Обложка")</f>
        <v>Обложка</v>
      </c>
      <c r="V236" s="28" t="str">
        <f>HYPERLINK("https://znanium.com/catalog/product/1839696", "Ознакомиться")</f>
        <v>Ознакомиться</v>
      </c>
      <c r="W236" s="8" t="s">
        <v>963</v>
      </c>
      <c r="X236" s="6"/>
      <c r="Y236" s="6"/>
      <c r="Z236" s="6"/>
      <c r="AA236" s="6" t="s">
        <v>70</v>
      </c>
    </row>
    <row r="237" spans="1:27" s="4" customFormat="1" ht="51.95" customHeight="1">
      <c r="A237" s="5">
        <v>0</v>
      </c>
      <c r="B237" s="6" t="s">
        <v>1664</v>
      </c>
      <c r="C237" s="7">
        <v>2180</v>
      </c>
      <c r="D237" s="8" t="s">
        <v>1665</v>
      </c>
      <c r="E237" s="8" t="s">
        <v>1666</v>
      </c>
      <c r="F237" s="8" t="s">
        <v>1667</v>
      </c>
      <c r="G237" s="6" t="s">
        <v>121</v>
      </c>
      <c r="H237" s="6" t="s">
        <v>38</v>
      </c>
      <c r="I237" s="8" t="s">
        <v>130</v>
      </c>
      <c r="J237" s="9">
        <v>1</v>
      </c>
      <c r="K237" s="9">
        <v>472</v>
      </c>
      <c r="L237" s="9">
        <v>2024</v>
      </c>
      <c r="M237" s="8" t="s">
        <v>1668</v>
      </c>
      <c r="N237" s="8" t="s">
        <v>41</v>
      </c>
      <c r="O237" s="8" t="s">
        <v>54</v>
      </c>
      <c r="P237" s="6" t="s">
        <v>85</v>
      </c>
      <c r="Q237" s="8" t="s">
        <v>66</v>
      </c>
      <c r="R237" s="10" t="s">
        <v>1181</v>
      </c>
      <c r="S237" s="11" t="s">
        <v>1669</v>
      </c>
      <c r="T237" s="6"/>
      <c r="U237" s="28" t="str">
        <f>HYPERLINK("https://media.infra-m.ru/2079/2079248/cover/2079248.jpg", "Обложка")</f>
        <v>Обложка</v>
      </c>
      <c r="V237" s="28" t="str">
        <f>HYPERLINK("https://znanium.com/catalog/product/2079248", "Ознакомиться")</f>
        <v>Ознакомиться</v>
      </c>
      <c r="W237" s="8" t="s">
        <v>1001</v>
      </c>
      <c r="X237" s="6"/>
      <c r="Y237" s="6"/>
      <c r="Z237" s="6"/>
      <c r="AA237" s="6" t="s">
        <v>269</v>
      </c>
    </row>
    <row r="238" spans="1:27" s="4" customFormat="1" ht="51.95" customHeight="1">
      <c r="A238" s="5">
        <v>0</v>
      </c>
      <c r="B238" s="6" t="s">
        <v>1670</v>
      </c>
      <c r="C238" s="7">
        <v>1304.9000000000001</v>
      </c>
      <c r="D238" s="8" t="s">
        <v>1671</v>
      </c>
      <c r="E238" s="8" t="s">
        <v>1672</v>
      </c>
      <c r="F238" s="8" t="s">
        <v>1673</v>
      </c>
      <c r="G238" s="6" t="s">
        <v>52</v>
      </c>
      <c r="H238" s="6" t="s">
        <v>122</v>
      </c>
      <c r="I238" s="8" t="s">
        <v>39</v>
      </c>
      <c r="J238" s="9">
        <v>1</v>
      </c>
      <c r="K238" s="9">
        <v>290</v>
      </c>
      <c r="L238" s="9">
        <v>2023</v>
      </c>
      <c r="M238" s="8" t="s">
        <v>1674</v>
      </c>
      <c r="N238" s="8" t="s">
        <v>41</v>
      </c>
      <c r="O238" s="8" t="s">
        <v>181</v>
      </c>
      <c r="P238" s="6" t="s">
        <v>43</v>
      </c>
      <c r="Q238" s="8" t="s">
        <v>44</v>
      </c>
      <c r="R238" s="10" t="s">
        <v>1675</v>
      </c>
      <c r="S238" s="11"/>
      <c r="T238" s="6"/>
      <c r="U238" s="28" t="str">
        <f>HYPERLINK("https://media.infra-m.ru/1913/1913981/cover/1913981.jpg", "Обложка")</f>
        <v>Обложка</v>
      </c>
      <c r="V238" s="28" t="str">
        <f>HYPERLINK("https://znanium.com/catalog/product/1913981", "Ознакомиться")</f>
        <v>Ознакомиться</v>
      </c>
      <c r="W238" s="8" t="s">
        <v>1676</v>
      </c>
      <c r="X238" s="6"/>
      <c r="Y238" s="6"/>
      <c r="Z238" s="6"/>
      <c r="AA238" s="6" t="s">
        <v>254</v>
      </c>
    </row>
    <row r="239" spans="1:27" s="4" customFormat="1" ht="51.95" customHeight="1">
      <c r="A239" s="5">
        <v>0</v>
      </c>
      <c r="B239" s="6" t="s">
        <v>1677</v>
      </c>
      <c r="C239" s="7">
        <v>2134.9</v>
      </c>
      <c r="D239" s="8" t="s">
        <v>1678</v>
      </c>
      <c r="E239" s="8" t="s">
        <v>1679</v>
      </c>
      <c r="F239" s="8" t="s">
        <v>1680</v>
      </c>
      <c r="G239" s="6" t="s">
        <v>121</v>
      </c>
      <c r="H239" s="6" t="s">
        <v>554</v>
      </c>
      <c r="I239" s="8" t="s">
        <v>130</v>
      </c>
      <c r="J239" s="9">
        <v>1</v>
      </c>
      <c r="K239" s="9">
        <v>558</v>
      </c>
      <c r="L239" s="9">
        <v>2023</v>
      </c>
      <c r="M239" s="8" t="s">
        <v>1681</v>
      </c>
      <c r="N239" s="8" t="s">
        <v>41</v>
      </c>
      <c r="O239" s="8" t="s">
        <v>54</v>
      </c>
      <c r="P239" s="6" t="s">
        <v>85</v>
      </c>
      <c r="Q239" s="8" t="s">
        <v>66</v>
      </c>
      <c r="R239" s="10" t="s">
        <v>1682</v>
      </c>
      <c r="S239" s="11" t="s">
        <v>1683</v>
      </c>
      <c r="T239" s="6"/>
      <c r="U239" s="28" t="str">
        <f>HYPERLINK("https://media.infra-m.ru/1900/1900619/cover/1900619.jpg", "Обложка")</f>
        <v>Обложка</v>
      </c>
      <c r="V239" s="28" t="str">
        <f>HYPERLINK("https://znanium.com/catalog/product/1052226", "Ознакомиться")</f>
        <v>Ознакомиться</v>
      </c>
      <c r="W239" s="8" t="s">
        <v>313</v>
      </c>
      <c r="X239" s="6"/>
      <c r="Y239" s="6"/>
      <c r="Z239" s="6"/>
      <c r="AA239" s="6" t="s">
        <v>1684</v>
      </c>
    </row>
    <row r="240" spans="1:27" s="4" customFormat="1" ht="21.95" customHeight="1">
      <c r="A240" s="5">
        <v>0</v>
      </c>
      <c r="B240" s="6" t="s">
        <v>1685</v>
      </c>
      <c r="C240" s="13">
        <v>214</v>
      </c>
      <c r="D240" s="8" t="s">
        <v>1686</v>
      </c>
      <c r="E240" s="8" t="s">
        <v>1687</v>
      </c>
      <c r="F240" s="8"/>
      <c r="G240" s="6" t="s">
        <v>52</v>
      </c>
      <c r="H240" s="6" t="s">
        <v>122</v>
      </c>
      <c r="I240" s="8" t="s">
        <v>197</v>
      </c>
      <c r="J240" s="9">
        <v>1</v>
      </c>
      <c r="K240" s="9">
        <v>134</v>
      </c>
      <c r="L240" s="9">
        <v>2023</v>
      </c>
      <c r="M240" s="8" t="s">
        <v>1688</v>
      </c>
      <c r="N240" s="8" t="s">
        <v>41</v>
      </c>
      <c r="O240" s="8" t="s">
        <v>54</v>
      </c>
      <c r="P240" s="6" t="s">
        <v>199</v>
      </c>
      <c r="Q240" s="8" t="s">
        <v>66</v>
      </c>
      <c r="R240" s="10" t="s">
        <v>1689</v>
      </c>
      <c r="S240" s="11"/>
      <c r="T240" s="6"/>
      <c r="U240" s="12"/>
      <c r="V240" s="12"/>
      <c r="W240" s="8"/>
      <c r="X240" s="6"/>
      <c r="Y240" s="6"/>
      <c r="Z240" s="6"/>
      <c r="AA240" s="6" t="s">
        <v>47</v>
      </c>
    </row>
    <row r="241" spans="1:27" s="4" customFormat="1" ht="51.95" customHeight="1">
      <c r="A241" s="5">
        <v>0</v>
      </c>
      <c r="B241" s="6" t="s">
        <v>1690</v>
      </c>
      <c r="C241" s="7">
        <v>1574.9</v>
      </c>
      <c r="D241" s="8" t="s">
        <v>1691</v>
      </c>
      <c r="E241" s="8" t="s">
        <v>1692</v>
      </c>
      <c r="F241" s="8" t="s">
        <v>1693</v>
      </c>
      <c r="G241" s="6" t="s">
        <v>121</v>
      </c>
      <c r="H241" s="6" t="s">
        <v>122</v>
      </c>
      <c r="I241" s="8" t="s">
        <v>62</v>
      </c>
      <c r="J241" s="9">
        <v>1</v>
      </c>
      <c r="K241" s="9">
        <v>374</v>
      </c>
      <c r="L241" s="9">
        <v>2022</v>
      </c>
      <c r="M241" s="8" t="s">
        <v>1694</v>
      </c>
      <c r="N241" s="8" t="s">
        <v>41</v>
      </c>
      <c r="O241" s="8" t="s">
        <v>54</v>
      </c>
      <c r="P241" s="6" t="s">
        <v>85</v>
      </c>
      <c r="Q241" s="8" t="s">
        <v>66</v>
      </c>
      <c r="R241" s="10" t="s">
        <v>1662</v>
      </c>
      <c r="S241" s="11" t="s">
        <v>1695</v>
      </c>
      <c r="T241" s="6"/>
      <c r="U241" s="28" t="str">
        <f>HYPERLINK("https://media.infra-m.ru/1873/1873257/cover/1873257.jpg", "Обложка")</f>
        <v>Обложка</v>
      </c>
      <c r="V241" s="28" t="str">
        <f>HYPERLINK("https://znanium.com/catalog/product/937964", "Ознакомиться")</f>
        <v>Ознакомиться</v>
      </c>
      <c r="W241" s="8" t="s">
        <v>1696</v>
      </c>
      <c r="X241" s="6"/>
      <c r="Y241" s="6"/>
      <c r="Z241" s="6"/>
      <c r="AA241" s="6" t="s">
        <v>70</v>
      </c>
    </row>
    <row r="242" spans="1:27" s="4" customFormat="1" ht="42" customHeight="1">
      <c r="A242" s="5">
        <v>0</v>
      </c>
      <c r="B242" s="6" t="s">
        <v>1697</v>
      </c>
      <c r="C242" s="13">
        <v>654.9</v>
      </c>
      <c r="D242" s="8" t="s">
        <v>1698</v>
      </c>
      <c r="E242" s="8" t="s">
        <v>1699</v>
      </c>
      <c r="F242" s="8" t="s">
        <v>1700</v>
      </c>
      <c r="G242" s="6" t="s">
        <v>52</v>
      </c>
      <c r="H242" s="6" t="s">
        <v>207</v>
      </c>
      <c r="I242" s="8" t="s">
        <v>298</v>
      </c>
      <c r="J242" s="9">
        <v>1</v>
      </c>
      <c r="K242" s="9">
        <v>144</v>
      </c>
      <c r="L242" s="9">
        <v>2023</v>
      </c>
      <c r="M242" s="8" t="s">
        <v>1701</v>
      </c>
      <c r="N242" s="8" t="s">
        <v>41</v>
      </c>
      <c r="O242" s="8" t="s">
        <v>54</v>
      </c>
      <c r="P242" s="6" t="s">
        <v>65</v>
      </c>
      <c r="Q242" s="8" t="s">
        <v>189</v>
      </c>
      <c r="R242" s="10" t="s">
        <v>201</v>
      </c>
      <c r="S242" s="11"/>
      <c r="T242" s="6"/>
      <c r="U242" s="28" t="str">
        <f>HYPERLINK("https://media.infra-m.ru/1891/1891573/cover/1891573.jpg", "Обложка")</f>
        <v>Обложка</v>
      </c>
      <c r="V242" s="28" t="str">
        <f>HYPERLINK("https://znanium.com/catalog/product/1081982", "Ознакомиться")</f>
        <v>Ознакомиться</v>
      </c>
      <c r="W242" s="8" t="s">
        <v>1643</v>
      </c>
      <c r="X242" s="6"/>
      <c r="Y242" s="6"/>
      <c r="Z242" s="6"/>
      <c r="AA242" s="6" t="s">
        <v>161</v>
      </c>
    </row>
    <row r="243" spans="1:27" s="4" customFormat="1" ht="51.95" customHeight="1">
      <c r="A243" s="5">
        <v>0</v>
      </c>
      <c r="B243" s="6" t="s">
        <v>1702</v>
      </c>
      <c r="C243" s="7">
        <v>1230</v>
      </c>
      <c r="D243" s="8" t="s">
        <v>1703</v>
      </c>
      <c r="E243" s="8" t="s">
        <v>1704</v>
      </c>
      <c r="F243" s="8" t="s">
        <v>1705</v>
      </c>
      <c r="G243" s="6" t="s">
        <v>37</v>
      </c>
      <c r="H243" s="6" t="s">
        <v>317</v>
      </c>
      <c r="I243" s="8" t="s">
        <v>187</v>
      </c>
      <c r="J243" s="9">
        <v>1</v>
      </c>
      <c r="K243" s="9">
        <v>304</v>
      </c>
      <c r="L243" s="9">
        <v>2021</v>
      </c>
      <c r="M243" s="8" t="s">
        <v>1706</v>
      </c>
      <c r="N243" s="8" t="s">
        <v>41</v>
      </c>
      <c r="O243" s="8" t="s">
        <v>54</v>
      </c>
      <c r="P243" s="6" t="s">
        <v>85</v>
      </c>
      <c r="Q243" s="8" t="s">
        <v>189</v>
      </c>
      <c r="R243" s="10" t="s">
        <v>1707</v>
      </c>
      <c r="S243" s="11"/>
      <c r="T243" s="6"/>
      <c r="U243" s="28" t="str">
        <f>HYPERLINK("https://media.infra-m.ru/1235/1235904/cover/1235904.jpg", "Обложка")</f>
        <v>Обложка</v>
      </c>
      <c r="V243" s="28" t="str">
        <f>HYPERLINK("https://znanium.com/catalog/product/1235904", "Ознакомиться")</f>
        <v>Ознакомиться</v>
      </c>
      <c r="W243" s="8" t="s">
        <v>1423</v>
      </c>
      <c r="X243" s="6"/>
      <c r="Y243" s="6" t="s">
        <v>30</v>
      </c>
      <c r="Z243" s="6"/>
      <c r="AA243" s="6" t="s">
        <v>320</v>
      </c>
    </row>
    <row r="244" spans="1:27" s="4" customFormat="1" ht="51.95" customHeight="1">
      <c r="A244" s="5">
        <v>0</v>
      </c>
      <c r="B244" s="6" t="s">
        <v>1708</v>
      </c>
      <c r="C244" s="7">
        <v>1450</v>
      </c>
      <c r="D244" s="8" t="s">
        <v>1709</v>
      </c>
      <c r="E244" s="8" t="s">
        <v>1710</v>
      </c>
      <c r="F244" s="8" t="s">
        <v>1705</v>
      </c>
      <c r="G244" s="6" t="s">
        <v>37</v>
      </c>
      <c r="H244" s="6" t="s">
        <v>317</v>
      </c>
      <c r="I244" s="8" t="s">
        <v>187</v>
      </c>
      <c r="J244" s="9">
        <v>1</v>
      </c>
      <c r="K244" s="9">
        <v>368</v>
      </c>
      <c r="L244" s="9">
        <v>2022</v>
      </c>
      <c r="M244" s="8" t="s">
        <v>1711</v>
      </c>
      <c r="N244" s="8" t="s">
        <v>41</v>
      </c>
      <c r="O244" s="8" t="s">
        <v>54</v>
      </c>
      <c r="P244" s="6" t="s">
        <v>85</v>
      </c>
      <c r="Q244" s="8" t="s">
        <v>189</v>
      </c>
      <c r="R244" s="10" t="s">
        <v>1712</v>
      </c>
      <c r="S244" s="11"/>
      <c r="T244" s="6"/>
      <c r="U244" s="28" t="str">
        <f>HYPERLINK("https://media.infra-m.ru/1817/1817031/cover/1817031.jpg", "Обложка")</f>
        <v>Обложка</v>
      </c>
      <c r="V244" s="28" t="str">
        <f>HYPERLINK("https://znanium.com/catalog/product/1817031", "Ознакомиться")</f>
        <v>Ознакомиться</v>
      </c>
      <c r="W244" s="8" t="s">
        <v>1423</v>
      </c>
      <c r="X244" s="6"/>
      <c r="Y244" s="6" t="s">
        <v>30</v>
      </c>
      <c r="Z244" s="6"/>
      <c r="AA244" s="6" t="s">
        <v>320</v>
      </c>
    </row>
    <row r="245" spans="1:27" s="4" customFormat="1" ht="51.95" customHeight="1">
      <c r="A245" s="5">
        <v>0</v>
      </c>
      <c r="B245" s="6" t="s">
        <v>1713</v>
      </c>
      <c r="C245" s="7">
        <v>2400</v>
      </c>
      <c r="D245" s="8" t="s">
        <v>1714</v>
      </c>
      <c r="E245" s="8" t="s">
        <v>1715</v>
      </c>
      <c r="F245" s="8" t="s">
        <v>1716</v>
      </c>
      <c r="G245" s="6" t="s">
        <v>37</v>
      </c>
      <c r="H245" s="6" t="s">
        <v>38</v>
      </c>
      <c r="I245" s="8" t="s">
        <v>187</v>
      </c>
      <c r="J245" s="9">
        <v>1</v>
      </c>
      <c r="K245" s="9">
        <v>544</v>
      </c>
      <c r="L245" s="9">
        <v>2023</v>
      </c>
      <c r="M245" s="8" t="s">
        <v>1717</v>
      </c>
      <c r="N245" s="8" t="s">
        <v>41</v>
      </c>
      <c r="O245" s="8" t="s">
        <v>54</v>
      </c>
      <c r="P245" s="6" t="s">
        <v>85</v>
      </c>
      <c r="Q245" s="8" t="s">
        <v>189</v>
      </c>
      <c r="R245" s="10" t="s">
        <v>1718</v>
      </c>
      <c r="S245" s="11" t="s">
        <v>1719</v>
      </c>
      <c r="T245" s="6"/>
      <c r="U245" s="28" t="str">
        <f>HYPERLINK("https://media.infra-m.ru/1891/1891827/cover/1891827.jpg", "Обложка")</f>
        <v>Обложка</v>
      </c>
      <c r="V245" s="28" t="str">
        <f>HYPERLINK("https://znanium.com/catalog/product/1891827", "Ознакомиться")</f>
        <v>Ознакомиться</v>
      </c>
      <c r="W245" s="8" t="s">
        <v>666</v>
      </c>
      <c r="X245" s="6"/>
      <c r="Y245" s="6" t="s">
        <v>30</v>
      </c>
      <c r="Z245" s="6"/>
      <c r="AA245" s="6" t="s">
        <v>1720</v>
      </c>
    </row>
    <row r="246" spans="1:27" s="4" customFormat="1" ht="51.95" customHeight="1">
      <c r="A246" s="5">
        <v>0</v>
      </c>
      <c r="B246" s="6" t="s">
        <v>1721</v>
      </c>
      <c r="C246" s="7">
        <v>1684</v>
      </c>
      <c r="D246" s="8" t="s">
        <v>1722</v>
      </c>
      <c r="E246" s="8" t="s">
        <v>1723</v>
      </c>
      <c r="F246" s="8" t="s">
        <v>1724</v>
      </c>
      <c r="G246" s="6" t="s">
        <v>121</v>
      </c>
      <c r="H246" s="6" t="s">
        <v>38</v>
      </c>
      <c r="I246" s="8" t="s">
        <v>187</v>
      </c>
      <c r="J246" s="9">
        <v>1</v>
      </c>
      <c r="K246" s="9">
        <v>349</v>
      </c>
      <c r="L246" s="9">
        <v>2024</v>
      </c>
      <c r="M246" s="8" t="s">
        <v>1725</v>
      </c>
      <c r="N246" s="8" t="s">
        <v>41</v>
      </c>
      <c r="O246" s="8" t="s">
        <v>54</v>
      </c>
      <c r="P246" s="6" t="s">
        <v>85</v>
      </c>
      <c r="Q246" s="8" t="s">
        <v>189</v>
      </c>
      <c r="R246" s="10" t="s">
        <v>201</v>
      </c>
      <c r="S246" s="11" t="s">
        <v>1726</v>
      </c>
      <c r="T246" s="6"/>
      <c r="U246" s="28" t="str">
        <f>HYPERLINK("https://media.infra-m.ru/2085/2085068/cover/2085068.jpg", "Обложка")</f>
        <v>Обложка</v>
      </c>
      <c r="V246" s="28" t="str">
        <f>HYPERLINK("https://znanium.com/catalog/product/2085068", "Ознакомиться")</f>
        <v>Ознакомиться</v>
      </c>
      <c r="W246" s="8" t="s">
        <v>232</v>
      </c>
      <c r="X246" s="6"/>
      <c r="Y246" s="6"/>
      <c r="Z246" s="6"/>
      <c r="AA246" s="6" t="s">
        <v>78</v>
      </c>
    </row>
    <row r="247" spans="1:27" s="4" customFormat="1" ht="51.95" customHeight="1">
      <c r="A247" s="5">
        <v>0</v>
      </c>
      <c r="B247" s="6" t="s">
        <v>1727</v>
      </c>
      <c r="C247" s="13">
        <v>920</v>
      </c>
      <c r="D247" s="8" t="s">
        <v>1728</v>
      </c>
      <c r="E247" s="8" t="s">
        <v>1723</v>
      </c>
      <c r="F247" s="8" t="s">
        <v>1729</v>
      </c>
      <c r="G247" s="6" t="s">
        <v>37</v>
      </c>
      <c r="H247" s="6" t="s">
        <v>38</v>
      </c>
      <c r="I247" s="8" t="s">
        <v>187</v>
      </c>
      <c r="J247" s="9">
        <v>1</v>
      </c>
      <c r="K247" s="9">
        <v>204</v>
      </c>
      <c r="L247" s="9">
        <v>2023</v>
      </c>
      <c r="M247" s="8" t="s">
        <v>1730</v>
      </c>
      <c r="N247" s="8" t="s">
        <v>41</v>
      </c>
      <c r="O247" s="8" t="s">
        <v>54</v>
      </c>
      <c r="P247" s="6" t="s">
        <v>85</v>
      </c>
      <c r="Q247" s="8" t="s">
        <v>189</v>
      </c>
      <c r="R247" s="10" t="s">
        <v>1731</v>
      </c>
      <c r="S247" s="11" t="s">
        <v>1732</v>
      </c>
      <c r="T247" s="6"/>
      <c r="U247" s="28" t="str">
        <f>HYPERLINK("https://media.infra-m.ru/1906/1906092/cover/1906092.jpg", "Обложка")</f>
        <v>Обложка</v>
      </c>
      <c r="V247" s="28" t="str">
        <f>HYPERLINK("https://znanium.com/catalog/product/1906092", "Ознакомиться")</f>
        <v>Ознакомиться</v>
      </c>
      <c r="W247" s="8" t="s">
        <v>1733</v>
      </c>
      <c r="X247" s="6"/>
      <c r="Y247" s="6"/>
      <c r="Z247" s="6"/>
      <c r="AA247" s="6" t="s">
        <v>135</v>
      </c>
    </row>
    <row r="248" spans="1:27" s="4" customFormat="1" ht="51.95" customHeight="1">
      <c r="A248" s="5">
        <v>0</v>
      </c>
      <c r="B248" s="6" t="s">
        <v>1734</v>
      </c>
      <c r="C248" s="13">
        <v>799.9</v>
      </c>
      <c r="D248" s="8" t="s">
        <v>1735</v>
      </c>
      <c r="E248" s="8" t="s">
        <v>1723</v>
      </c>
      <c r="F248" s="8" t="s">
        <v>1736</v>
      </c>
      <c r="G248" s="6" t="s">
        <v>121</v>
      </c>
      <c r="H248" s="6" t="s">
        <v>38</v>
      </c>
      <c r="I248" s="8" t="s">
        <v>187</v>
      </c>
      <c r="J248" s="9">
        <v>1</v>
      </c>
      <c r="K248" s="9">
        <v>238</v>
      </c>
      <c r="L248" s="9">
        <v>2019</v>
      </c>
      <c r="M248" s="8" t="s">
        <v>1737</v>
      </c>
      <c r="N248" s="8" t="s">
        <v>41</v>
      </c>
      <c r="O248" s="8" t="s">
        <v>54</v>
      </c>
      <c r="P248" s="6" t="s">
        <v>65</v>
      </c>
      <c r="Q248" s="8" t="s">
        <v>189</v>
      </c>
      <c r="R248" s="10" t="s">
        <v>201</v>
      </c>
      <c r="S248" s="11" t="s">
        <v>1738</v>
      </c>
      <c r="T248" s="6"/>
      <c r="U248" s="28" t="str">
        <f>HYPERLINK("https://media.infra-m.ru/2081/2081755/cover/2081755.jpg", "Обложка")</f>
        <v>Обложка</v>
      </c>
      <c r="V248" s="28" t="str">
        <f>HYPERLINK("https://znanium.com/catalog/product/1127760", "Ознакомиться")</f>
        <v>Ознакомиться</v>
      </c>
      <c r="W248" s="8" t="s">
        <v>1739</v>
      </c>
      <c r="X248" s="6"/>
      <c r="Y248" s="6"/>
      <c r="Z248" s="6"/>
      <c r="AA248" s="6" t="s">
        <v>193</v>
      </c>
    </row>
    <row r="249" spans="1:27" s="4" customFormat="1" ht="51.95" customHeight="1">
      <c r="A249" s="5">
        <v>0</v>
      </c>
      <c r="B249" s="6" t="s">
        <v>1740</v>
      </c>
      <c r="C249" s="7">
        <v>1884.9</v>
      </c>
      <c r="D249" s="8" t="s">
        <v>1741</v>
      </c>
      <c r="E249" s="8" t="s">
        <v>1723</v>
      </c>
      <c r="F249" s="8" t="s">
        <v>1742</v>
      </c>
      <c r="G249" s="6" t="s">
        <v>37</v>
      </c>
      <c r="H249" s="6" t="s">
        <v>38</v>
      </c>
      <c r="I249" s="8" t="s">
        <v>62</v>
      </c>
      <c r="J249" s="9">
        <v>1</v>
      </c>
      <c r="K249" s="9">
        <v>496</v>
      </c>
      <c r="L249" s="9">
        <v>2022</v>
      </c>
      <c r="M249" s="8" t="s">
        <v>1743</v>
      </c>
      <c r="N249" s="8" t="s">
        <v>41</v>
      </c>
      <c r="O249" s="8" t="s">
        <v>54</v>
      </c>
      <c r="P249" s="6" t="s">
        <v>65</v>
      </c>
      <c r="Q249" s="8" t="s">
        <v>66</v>
      </c>
      <c r="R249" s="10" t="s">
        <v>697</v>
      </c>
      <c r="S249" s="11" t="s">
        <v>1649</v>
      </c>
      <c r="T249" s="6"/>
      <c r="U249" s="28" t="str">
        <f>HYPERLINK("https://media.infra-m.ru/1818/1818645/cover/1818645.jpg", "Обложка")</f>
        <v>Обложка</v>
      </c>
      <c r="V249" s="28" t="str">
        <f>HYPERLINK("https://znanium.com/catalog/product/1818645", "Ознакомиться")</f>
        <v>Ознакомиться</v>
      </c>
      <c r="W249" s="8" t="s">
        <v>169</v>
      </c>
      <c r="X249" s="6"/>
      <c r="Y249" s="6"/>
      <c r="Z249" s="6"/>
      <c r="AA249" s="6" t="s">
        <v>445</v>
      </c>
    </row>
    <row r="250" spans="1:27" s="4" customFormat="1" ht="51.95" customHeight="1">
      <c r="A250" s="5">
        <v>0</v>
      </c>
      <c r="B250" s="6" t="s">
        <v>1744</v>
      </c>
      <c r="C250" s="13">
        <v>690</v>
      </c>
      <c r="D250" s="8" t="s">
        <v>1745</v>
      </c>
      <c r="E250" s="8" t="s">
        <v>1746</v>
      </c>
      <c r="F250" s="8" t="s">
        <v>1747</v>
      </c>
      <c r="G250" s="6" t="s">
        <v>37</v>
      </c>
      <c r="H250" s="6" t="s">
        <v>317</v>
      </c>
      <c r="I250" s="8" t="s">
        <v>680</v>
      </c>
      <c r="J250" s="9">
        <v>1</v>
      </c>
      <c r="K250" s="9">
        <v>152</v>
      </c>
      <c r="L250" s="9">
        <v>2023</v>
      </c>
      <c r="M250" s="8" t="s">
        <v>1748</v>
      </c>
      <c r="N250" s="8" t="s">
        <v>41</v>
      </c>
      <c r="O250" s="8" t="s">
        <v>54</v>
      </c>
      <c r="P250" s="6" t="s">
        <v>85</v>
      </c>
      <c r="Q250" s="8" t="s">
        <v>66</v>
      </c>
      <c r="R250" s="10" t="s">
        <v>1749</v>
      </c>
      <c r="S250" s="11" t="s">
        <v>1750</v>
      </c>
      <c r="T250" s="6"/>
      <c r="U250" s="28" t="str">
        <f>HYPERLINK("https://media.infra-m.ru/2038/2038241/cover/2038241.jpg", "Обложка")</f>
        <v>Обложка</v>
      </c>
      <c r="V250" s="28" t="str">
        <f>HYPERLINK("https://znanium.com/catalog/product/2038241", "Ознакомиться")</f>
        <v>Ознакомиться</v>
      </c>
      <c r="W250" s="8" t="s">
        <v>1751</v>
      </c>
      <c r="X250" s="6"/>
      <c r="Y250" s="6"/>
      <c r="Z250" s="6"/>
      <c r="AA250" s="6" t="s">
        <v>70</v>
      </c>
    </row>
    <row r="251" spans="1:27" s="4" customFormat="1" ht="51.95" customHeight="1">
      <c r="A251" s="5">
        <v>0</v>
      </c>
      <c r="B251" s="6" t="s">
        <v>1752</v>
      </c>
      <c r="C251" s="7">
        <v>1800</v>
      </c>
      <c r="D251" s="8" t="s">
        <v>1753</v>
      </c>
      <c r="E251" s="8" t="s">
        <v>1754</v>
      </c>
      <c r="F251" s="8" t="s">
        <v>1627</v>
      </c>
      <c r="G251" s="6" t="s">
        <v>37</v>
      </c>
      <c r="H251" s="6" t="s">
        <v>38</v>
      </c>
      <c r="I251" s="8" t="s">
        <v>187</v>
      </c>
      <c r="J251" s="9">
        <v>1</v>
      </c>
      <c r="K251" s="9">
        <v>399</v>
      </c>
      <c r="L251" s="9">
        <v>2023</v>
      </c>
      <c r="M251" s="8" t="s">
        <v>1755</v>
      </c>
      <c r="N251" s="8" t="s">
        <v>41</v>
      </c>
      <c r="O251" s="8" t="s">
        <v>54</v>
      </c>
      <c r="P251" s="6" t="s">
        <v>65</v>
      </c>
      <c r="Q251" s="8" t="s">
        <v>189</v>
      </c>
      <c r="R251" s="10" t="s">
        <v>1756</v>
      </c>
      <c r="S251" s="11" t="s">
        <v>1757</v>
      </c>
      <c r="T251" s="6" t="s">
        <v>89</v>
      </c>
      <c r="U251" s="28" t="str">
        <f>HYPERLINK("https://media.infra-m.ru/1960/1960027/cover/1960027.jpg", "Обложка")</f>
        <v>Обложка</v>
      </c>
      <c r="V251" s="28" t="str">
        <f>HYPERLINK("https://znanium.com/catalog/product/1960027", "Ознакомиться")</f>
        <v>Ознакомиться</v>
      </c>
      <c r="W251" s="8" t="s">
        <v>784</v>
      </c>
      <c r="X251" s="6"/>
      <c r="Y251" s="6"/>
      <c r="Z251" s="6" t="s">
        <v>192</v>
      </c>
      <c r="AA251" s="6" t="s">
        <v>108</v>
      </c>
    </row>
    <row r="252" spans="1:27" s="4" customFormat="1" ht="51.95" customHeight="1">
      <c r="A252" s="5">
        <v>0</v>
      </c>
      <c r="B252" s="6" t="s">
        <v>1758</v>
      </c>
      <c r="C252" s="7">
        <v>1790</v>
      </c>
      <c r="D252" s="8" t="s">
        <v>1759</v>
      </c>
      <c r="E252" s="8" t="s">
        <v>1754</v>
      </c>
      <c r="F252" s="8" t="s">
        <v>1627</v>
      </c>
      <c r="G252" s="6" t="s">
        <v>37</v>
      </c>
      <c r="H252" s="6" t="s">
        <v>38</v>
      </c>
      <c r="I252" s="8" t="s">
        <v>62</v>
      </c>
      <c r="J252" s="9">
        <v>1</v>
      </c>
      <c r="K252" s="9">
        <v>399</v>
      </c>
      <c r="L252" s="9">
        <v>2023</v>
      </c>
      <c r="M252" s="8" t="s">
        <v>1760</v>
      </c>
      <c r="N252" s="8" t="s">
        <v>41</v>
      </c>
      <c r="O252" s="8" t="s">
        <v>54</v>
      </c>
      <c r="P252" s="6" t="s">
        <v>65</v>
      </c>
      <c r="Q252" s="8" t="s">
        <v>66</v>
      </c>
      <c r="R252" s="10" t="s">
        <v>1761</v>
      </c>
      <c r="S252" s="11" t="s">
        <v>1762</v>
      </c>
      <c r="T252" s="6" t="s">
        <v>89</v>
      </c>
      <c r="U252" s="28" t="str">
        <f>HYPERLINK("https://media.infra-m.ru/1902/1902069/cover/1902069.jpg", "Обложка")</f>
        <v>Обложка</v>
      </c>
      <c r="V252" s="28" t="str">
        <f>HYPERLINK("https://znanium.com/catalog/product/1902069", "Ознакомиться")</f>
        <v>Ознакомиться</v>
      </c>
      <c r="W252" s="8" t="s">
        <v>784</v>
      </c>
      <c r="X252" s="6"/>
      <c r="Y252" s="6"/>
      <c r="Z252" s="6"/>
      <c r="AA252" s="6" t="s">
        <v>47</v>
      </c>
    </row>
    <row r="253" spans="1:27" s="4" customFormat="1" ht="51.95" customHeight="1">
      <c r="A253" s="5">
        <v>0</v>
      </c>
      <c r="B253" s="6" t="s">
        <v>1763</v>
      </c>
      <c r="C253" s="7">
        <v>1844</v>
      </c>
      <c r="D253" s="8" t="s">
        <v>1764</v>
      </c>
      <c r="E253" s="8" t="s">
        <v>1765</v>
      </c>
      <c r="F253" s="8" t="s">
        <v>1766</v>
      </c>
      <c r="G253" s="6" t="s">
        <v>37</v>
      </c>
      <c r="H253" s="6" t="s">
        <v>38</v>
      </c>
      <c r="I253" s="8" t="s">
        <v>1767</v>
      </c>
      <c r="J253" s="9">
        <v>1</v>
      </c>
      <c r="K253" s="9">
        <v>409</v>
      </c>
      <c r="L253" s="9">
        <v>2023</v>
      </c>
      <c r="M253" s="8" t="s">
        <v>1768</v>
      </c>
      <c r="N253" s="8" t="s">
        <v>41</v>
      </c>
      <c r="O253" s="8" t="s">
        <v>54</v>
      </c>
      <c r="P253" s="6" t="s">
        <v>65</v>
      </c>
      <c r="Q253" s="8" t="s">
        <v>797</v>
      </c>
      <c r="R253" s="10" t="s">
        <v>1769</v>
      </c>
      <c r="S253" s="11" t="s">
        <v>1770</v>
      </c>
      <c r="T253" s="6"/>
      <c r="U253" s="28" t="str">
        <f>HYPERLINK("https://media.infra-m.ru/2006/2006899/cover/2006899.jpg", "Обложка")</f>
        <v>Обложка</v>
      </c>
      <c r="V253" s="12"/>
      <c r="W253" s="8" t="s">
        <v>463</v>
      </c>
      <c r="X253" s="6"/>
      <c r="Y253" s="6"/>
      <c r="Z253" s="6"/>
      <c r="AA253" s="6" t="s">
        <v>91</v>
      </c>
    </row>
    <row r="254" spans="1:27" s="4" customFormat="1" ht="51.95" customHeight="1">
      <c r="A254" s="5">
        <v>0</v>
      </c>
      <c r="B254" s="6" t="s">
        <v>1771</v>
      </c>
      <c r="C254" s="13">
        <v>924.9</v>
      </c>
      <c r="D254" s="8" t="s">
        <v>1772</v>
      </c>
      <c r="E254" s="8" t="s">
        <v>1773</v>
      </c>
      <c r="F254" s="8" t="s">
        <v>1774</v>
      </c>
      <c r="G254" s="6" t="s">
        <v>52</v>
      </c>
      <c r="H254" s="6" t="s">
        <v>38</v>
      </c>
      <c r="I254" s="8" t="s">
        <v>62</v>
      </c>
      <c r="J254" s="9">
        <v>1</v>
      </c>
      <c r="K254" s="9">
        <v>205</v>
      </c>
      <c r="L254" s="9">
        <v>2023</v>
      </c>
      <c r="M254" s="8" t="s">
        <v>1775</v>
      </c>
      <c r="N254" s="8" t="s">
        <v>41</v>
      </c>
      <c r="O254" s="8" t="s">
        <v>54</v>
      </c>
      <c r="P254" s="6" t="s">
        <v>65</v>
      </c>
      <c r="Q254" s="8" t="s">
        <v>66</v>
      </c>
      <c r="R254" s="10" t="s">
        <v>1776</v>
      </c>
      <c r="S254" s="11"/>
      <c r="T254" s="6"/>
      <c r="U254" s="28" t="str">
        <f>HYPERLINK("https://media.infra-m.ru/1906/1906380/cover/1906380.jpg", "Обложка")</f>
        <v>Обложка</v>
      </c>
      <c r="V254" s="28" t="str">
        <f>HYPERLINK("https://znanium.com/catalog/product/1002159", "Ознакомиться")</f>
        <v>Ознакомиться</v>
      </c>
      <c r="W254" s="8" t="s">
        <v>169</v>
      </c>
      <c r="X254" s="6"/>
      <c r="Y254" s="6"/>
      <c r="Z254" s="6"/>
      <c r="AA254" s="6" t="s">
        <v>57</v>
      </c>
    </row>
    <row r="255" spans="1:27" s="4" customFormat="1" ht="51.95" customHeight="1">
      <c r="A255" s="5">
        <v>0</v>
      </c>
      <c r="B255" s="6" t="s">
        <v>1777</v>
      </c>
      <c r="C255" s="7">
        <v>1450</v>
      </c>
      <c r="D255" s="8" t="s">
        <v>1778</v>
      </c>
      <c r="E255" s="8" t="s">
        <v>1779</v>
      </c>
      <c r="F255" s="8" t="s">
        <v>1780</v>
      </c>
      <c r="G255" s="6" t="s">
        <v>52</v>
      </c>
      <c r="H255" s="6" t="s">
        <v>38</v>
      </c>
      <c r="I255" s="8" t="s">
        <v>39</v>
      </c>
      <c r="J255" s="9">
        <v>1</v>
      </c>
      <c r="K255" s="9">
        <v>342</v>
      </c>
      <c r="L255" s="9">
        <v>2022</v>
      </c>
      <c r="M255" s="8" t="s">
        <v>1781</v>
      </c>
      <c r="N255" s="8" t="s">
        <v>41</v>
      </c>
      <c r="O255" s="8" t="s">
        <v>42</v>
      </c>
      <c r="P255" s="6" t="s">
        <v>43</v>
      </c>
      <c r="Q255" s="8" t="s">
        <v>44</v>
      </c>
      <c r="R255" s="10" t="s">
        <v>1782</v>
      </c>
      <c r="S255" s="11"/>
      <c r="T255" s="6"/>
      <c r="U255" s="28" t="str">
        <f>HYPERLINK("https://media.infra-m.ru/1871/1871445/cover/1871445.jpg", "Обложка")</f>
        <v>Обложка</v>
      </c>
      <c r="V255" s="28" t="str">
        <f>HYPERLINK("https://znanium.com/catalog/product/1871445", "Ознакомиться")</f>
        <v>Ознакомиться</v>
      </c>
      <c r="W255" s="8" t="s">
        <v>1783</v>
      </c>
      <c r="X255" s="6"/>
      <c r="Y255" s="6"/>
      <c r="Z255" s="6"/>
      <c r="AA255" s="6" t="s">
        <v>78</v>
      </c>
    </row>
    <row r="256" spans="1:27" s="4" customFormat="1" ht="44.1" customHeight="1">
      <c r="A256" s="5">
        <v>0</v>
      </c>
      <c r="B256" s="6" t="s">
        <v>1784</v>
      </c>
      <c r="C256" s="7">
        <v>1104.9000000000001</v>
      </c>
      <c r="D256" s="8" t="s">
        <v>1785</v>
      </c>
      <c r="E256" s="8" t="s">
        <v>1786</v>
      </c>
      <c r="F256" s="8" t="s">
        <v>1780</v>
      </c>
      <c r="G256" s="6" t="s">
        <v>121</v>
      </c>
      <c r="H256" s="6" t="s">
        <v>38</v>
      </c>
      <c r="I256" s="8" t="s">
        <v>39</v>
      </c>
      <c r="J256" s="9">
        <v>1</v>
      </c>
      <c r="K256" s="9">
        <v>246</v>
      </c>
      <c r="L256" s="9">
        <v>2023</v>
      </c>
      <c r="M256" s="8" t="s">
        <v>1787</v>
      </c>
      <c r="N256" s="8" t="s">
        <v>41</v>
      </c>
      <c r="O256" s="8" t="s">
        <v>54</v>
      </c>
      <c r="P256" s="6" t="s">
        <v>43</v>
      </c>
      <c r="Q256" s="8" t="s">
        <v>44</v>
      </c>
      <c r="R256" s="10" t="s">
        <v>1788</v>
      </c>
      <c r="S256" s="11"/>
      <c r="T256" s="6"/>
      <c r="U256" s="28" t="str">
        <f>HYPERLINK("https://media.infra-m.ru/1965/1965736/cover/1965736.jpg", "Обложка")</f>
        <v>Обложка</v>
      </c>
      <c r="V256" s="28" t="str">
        <f>HYPERLINK("https://znanium.com/catalog/product/1005535", "Ознакомиться")</f>
        <v>Ознакомиться</v>
      </c>
      <c r="W256" s="8" t="s">
        <v>1783</v>
      </c>
      <c r="X256" s="6"/>
      <c r="Y256" s="6"/>
      <c r="Z256" s="6"/>
      <c r="AA256" s="6" t="s">
        <v>193</v>
      </c>
    </row>
    <row r="257" spans="1:27" s="4" customFormat="1" ht="51.95" customHeight="1">
      <c r="A257" s="5">
        <v>0</v>
      </c>
      <c r="B257" s="6" t="s">
        <v>1789</v>
      </c>
      <c r="C257" s="7">
        <v>1080</v>
      </c>
      <c r="D257" s="8" t="s">
        <v>1790</v>
      </c>
      <c r="E257" s="8" t="s">
        <v>1791</v>
      </c>
      <c r="F257" s="8" t="s">
        <v>1792</v>
      </c>
      <c r="G257" s="6" t="s">
        <v>37</v>
      </c>
      <c r="H257" s="6" t="s">
        <v>355</v>
      </c>
      <c r="I257" s="8" t="s">
        <v>298</v>
      </c>
      <c r="J257" s="9">
        <v>1</v>
      </c>
      <c r="K257" s="9">
        <v>240</v>
      </c>
      <c r="L257" s="9">
        <v>2023</v>
      </c>
      <c r="M257" s="8" t="s">
        <v>1793</v>
      </c>
      <c r="N257" s="8" t="s">
        <v>41</v>
      </c>
      <c r="O257" s="8" t="s">
        <v>54</v>
      </c>
      <c r="P257" s="6" t="s">
        <v>85</v>
      </c>
      <c r="Q257" s="8" t="s">
        <v>189</v>
      </c>
      <c r="R257" s="10" t="s">
        <v>1794</v>
      </c>
      <c r="S257" s="11" t="s">
        <v>1795</v>
      </c>
      <c r="T257" s="6"/>
      <c r="U257" s="28" t="str">
        <f>HYPERLINK("https://media.infra-m.ru/1896/1896458/cover/1896458.jpg", "Обложка")</f>
        <v>Обложка</v>
      </c>
      <c r="V257" s="28" t="str">
        <f>HYPERLINK("https://znanium.com/catalog/product/1896458", "Ознакомиться")</f>
        <v>Ознакомиться</v>
      </c>
      <c r="W257" s="8" t="s">
        <v>620</v>
      </c>
      <c r="X257" s="6"/>
      <c r="Y257" s="6"/>
      <c r="Z257" s="6"/>
      <c r="AA257" s="6" t="s">
        <v>1796</v>
      </c>
    </row>
    <row r="258" spans="1:27" s="4" customFormat="1" ht="42" customHeight="1">
      <c r="A258" s="5">
        <v>0</v>
      </c>
      <c r="B258" s="6" t="s">
        <v>1797</v>
      </c>
      <c r="C258" s="7">
        <v>1764</v>
      </c>
      <c r="D258" s="8" t="s">
        <v>1798</v>
      </c>
      <c r="E258" s="8" t="s">
        <v>1799</v>
      </c>
      <c r="F258" s="8" t="s">
        <v>1800</v>
      </c>
      <c r="G258" s="6" t="s">
        <v>121</v>
      </c>
      <c r="H258" s="6" t="s">
        <v>978</v>
      </c>
      <c r="I258" s="8" t="s">
        <v>1801</v>
      </c>
      <c r="J258" s="9">
        <v>1</v>
      </c>
      <c r="K258" s="9">
        <v>384</v>
      </c>
      <c r="L258" s="9">
        <v>2023</v>
      </c>
      <c r="M258" s="8" t="s">
        <v>1802</v>
      </c>
      <c r="N258" s="8" t="s">
        <v>41</v>
      </c>
      <c r="O258" s="8" t="s">
        <v>54</v>
      </c>
      <c r="P258" s="6" t="s">
        <v>65</v>
      </c>
      <c r="Q258" s="8" t="s">
        <v>66</v>
      </c>
      <c r="R258" s="10" t="s">
        <v>292</v>
      </c>
      <c r="S258" s="11"/>
      <c r="T258" s="6"/>
      <c r="U258" s="28" t="str">
        <f>HYPERLINK("https://media.infra-m.ru/1911/1911192/cover/1911192.jpg", "Обложка")</f>
        <v>Обложка</v>
      </c>
      <c r="V258" s="28" t="str">
        <f>HYPERLINK("https://znanium.com/catalog/product/1009045", "Ознакомиться")</f>
        <v>Ознакомиться</v>
      </c>
      <c r="W258" s="8" t="s">
        <v>582</v>
      </c>
      <c r="X258" s="6"/>
      <c r="Y258" s="6"/>
      <c r="Z258" s="6"/>
      <c r="AA258" s="6" t="s">
        <v>100</v>
      </c>
    </row>
    <row r="259" spans="1:27" s="4" customFormat="1" ht="51.95" customHeight="1">
      <c r="A259" s="5">
        <v>0</v>
      </c>
      <c r="B259" s="6" t="s">
        <v>1803</v>
      </c>
      <c r="C259" s="13">
        <v>670</v>
      </c>
      <c r="D259" s="8" t="s">
        <v>1804</v>
      </c>
      <c r="E259" s="8" t="s">
        <v>1805</v>
      </c>
      <c r="F259" s="8" t="s">
        <v>1806</v>
      </c>
      <c r="G259" s="6" t="s">
        <v>37</v>
      </c>
      <c r="H259" s="6" t="s">
        <v>38</v>
      </c>
      <c r="I259" s="8" t="s">
        <v>83</v>
      </c>
      <c r="J259" s="9">
        <v>1</v>
      </c>
      <c r="K259" s="9">
        <v>134</v>
      </c>
      <c r="L259" s="9">
        <v>2023</v>
      </c>
      <c r="M259" s="8" t="s">
        <v>1807</v>
      </c>
      <c r="N259" s="8" t="s">
        <v>41</v>
      </c>
      <c r="O259" s="8" t="s">
        <v>54</v>
      </c>
      <c r="P259" s="6" t="s">
        <v>65</v>
      </c>
      <c r="Q259" s="8" t="s">
        <v>86</v>
      </c>
      <c r="R259" s="10" t="s">
        <v>1808</v>
      </c>
      <c r="S259" s="11" t="s">
        <v>1809</v>
      </c>
      <c r="T259" s="6"/>
      <c r="U259" s="28" t="str">
        <f>HYPERLINK("https://media.infra-m.ru/1904/1904567/cover/1904567.jpg", "Обложка")</f>
        <v>Обложка</v>
      </c>
      <c r="V259" s="28" t="str">
        <f>HYPERLINK("https://znanium.com/catalog/product/1904567", "Ознакомиться")</f>
        <v>Ознакомиться</v>
      </c>
      <c r="W259" s="8" t="s">
        <v>143</v>
      </c>
      <c r="X259" s="6"/>
      <c r="Y259" s="6"/>
      <c r="Z259" s="6"/>
      <c r="AA259" s="6" t="s">
        <v>193</v>
      </c>
    </row>
    <row r="260" spans="1:27" s="4" customFormat="1" ht="51.95" customHeight="1">
      <c r="A260" s="5">
        <v>0</v>
      </c>
      <c r="B260" s="6" t="s">
        <v>1810</v>
      </c>
      <c r="C260" s="13">
        <v>990</v>
      </c>
      <c r="D260" s="8" t="s">
        <v>1811</v>
      </c>
      <c r="E260" s="8" t="s">
        <v>1812</v>
      </c>
      <c r="F260" s="8" t="s">
        <v>1115</v>
      </c>
      <c r="G260" s="6" t="s">
        <v>37</v>
      </c>
      <c r="H260" s="6" t="s">
        <v>38</v>
      </c>
      <c r="I260" s="8" t="s">
        <v>1278</v>
      </c>
      <c r="J260" s="9">
        <v>1</v>
      </c>
      <c r="K260" s="9">
        <v>212</v>
      </c>
      <c r="L260" s="9">
        <v>2023</v>
      </c>
      <c r="M260" s="8" t="s">
        <v>1813</v>
      </c>
      <c r="N260" s="8" t="s">
        <v>41</v>
      </c>
      <c r="O260" s="8" t="s">
        <v>54</v>
      </c>
      <c r="P260" s="6" t="s">
        <v>65</v>
      </c>
      <c r="Q260" s="8" t="s">
        <v>66</v>
      </c>
      <c r="R260" s="10" t="s">
        <v>1814</v>
      </c>
      <c r="S260" s="11" t="s">
        <v>1815</v>
      </c>
      <c r="T260" s="6"/>
      <c r="U260" s="28" t="str">
        <f>HYPERLINK("https://media.infra-m.ru/2049/2049703/cover/2049703.jpg", "Обложка")</f>
        <v>Обложка</v>
      </c>
      <c r="V260" s="28" t="str">
        <f>HYPERLINK("https://znanium.com/catalog/product/2049703", "Ознакомиться")</f>
        <v>Ознакомиться</v>
      </c>
      <c r="W260" s="8" t="s">
        <v>1001</v>
      </c>
      <c r="X260" s="6"/>
      <c r="Y260" s="6"/>
      <c r="Z260" s="6"/>
      <c r="AA260" s="6" t="s">
        <v>135</v>
      </c>
    </row>
    <row r="261" spans="1:27" s="4" customFormat="1" ht="44.1" customHeight="1">
      <c r="A261" s="5">
        <v>0</v>
      </c>
      <c r="B261" s="6" t="s">
        <v>1816</v>
      </c>
      <c r="C261" s="13">
        <v>874.9</v>
      </c>
      <c r="D261" s="8" t="s">
        <v>1817</v>
      </c>
      <c r="E261" s="8" t="s">
        <v>1818</v>
      </c>
      <c r="F261" s="8" t="s">
        <v>1819</v>
      </c>
      <c r="G261" s="6" t="s">
        <v>52</v>
      </c>
      <c r="H261" s="6" t="s">
        <v>38</v>
      </c>
      <c r="I261" s="8" t="s">
        <v>39</v>
      </c>
      <c r="J261" s="9">
        <v>1</v>
      </c>
      <c r="K261" s="9">
        <v>194</v>
      </c>
      <c r="L261" s="9">
        <v>2023</v>
      </c>
      <c r="M261" s="8" t="s">
        <v>1820</v>
      </c>
      <c r="N261" s="8" t="s">
        <v>41</v>
      </c>
      <c r="O261" s="8" t="s">
        <v>54</v>
      </c>
      <c r="P261" s="6" t="s">
        <v>43</v>
      </c>
      <c r="Q261" s="8" t="s">
        <v>44</v>
      </c>
      <c r="R261" s="10" t="s">
        <v>1821</v>
      </c>
      <c r="S261" s="11"/>
      <c r="T261" s="6"/>
      <c r="U261" s="28" t="str">
        <f>HYPERLINK("https://media.infra-m.ru/1964/1964975/cover/1964975.jpg", "Обложка")</f>
        <v>Обложка</v>
      </c>
      <c r="V261" s="28" t="str">
        <f>HYPERLINK("https://znanium.com/catalog/product/1014071", "Ознакомиться")</f>
        <v>Ознакомиться</v>
      </c>
      <c r="W261" s="8" t="s">
        <v>1822</v>
      </c>
      <c r="X261" s="6"/>
      <c r="Y261" s="6"/>
      <c r="Z261" s="6"/>
      <c r="AA261" s="6" t="s">
        <v>108</v>
      </c>
    </row>
    <row r="262" spans="1:27" s="4" customFormat="1" ht="51.95" customHeight="1">
      <c r="A262" s="5">
        <v>0</v>
      </c>
      <c r="B262" s="6" t="s">
        <v>1823</v>
      </c>
      <c r="C262" s="7">
        <v>2370</v>
      </c>
      <c r="D262" s="8" t="s">
        <v>1824</v>
      </c>
      <c r="E262" s="8" t="s">
        <v>1825</v>
      </c>
      <c r="F262" s="8" t="s">
        <v>1826</v>
      </c>
      <c r="G262" s="6" t="s">
        <v>121</v>
      </c>
      <c r="H262" s="6" t="s">
        <v>38</v>
      </c>
      <c r="I262" s="8" t="s">
        <v>83</v>
      </c>
      <c r="J262" s="9">
        <v>1</v>
      </c>
      <c r="K262" s="9">
        <v>514</v>
      </c>
      <c r="L262" s="9">
        <v>2024</v>
      </c>
      <c r="M262" s="8" t="s">
        <v>1827</v>
      </c>
      <c r="N262" s="8" t="s">
        <v>41</v>
      </c>
      <c r="O262" s="8" t="s">
        <v>54</v>
      </c>
      <c r="P262" s="6" t="s">
        <v>85</v>
      </c>
      <c r="Q262" s="8" t="s">
        <v>86</v>
      </c>
      <c r="R262" s="10" t="s">
        <v>1828</v>
      </c>
      <c r="S262" s="11"/>
      <c r="T262" s="6"/>
      <c r="U262" s="28" t="str">
        <f>HYPERLINK("https://media.infra-m.ru/2013/2013668/cover/2013668.jpg", "Обложка")</f>
        <v>Обложка</v>
      </c>
      <c r="V262" s="28" t="str">
        <f>HYPERLINK("https://znanium.com/catalog/product/2013668", "Ознакомиться")</f>
        <v>Ознакомиться</v>
      </c>
      <c r="W262" s="8" t="s">
        <v>981</v>
      </c>
      <c r="X262" s="6"/>
      <c r="Y262" s="6"/>
      <c r="Z262" s="6"/>
      <c r="AA262" s="6" t="s">
        <v>320</v>
      </c>
    </row>
    <row r="263" spans="1:27" s="4" customFormat="1" ht="42" customHeight="1">
      <c r="A263" s="5">
        <v>0</v>
      </c>
      <c r="B263" s="6" t="s">
        <v>1829</v>
      </c>
      <c r="C263" s="13">
        <v>520</v>
      </c>
      <c r="D263" s="8" t="s">
        <v>1830</v>
      </c>
      <c r="E263" s="8" t="s">
        <v>1831</v>
      </c>
      <c r="F263" s="8" t="s">
        <v>1832</v>
      </c>
      <c r="G263" s="6" t="s">
        <v>52</v>
      </c>
      <c r="H263" s="6" t="s">
        <v>264</v>
      </c>
      <c r="I263" s="8" t="s">
        <v>130</v>
      </c>
      <c r="J263" s="9">
        <v>1</v>
      </c>
      <c r="K263" s="9">
        <v>112</v>
      </c>
      <c r="L263" s="9">
        <v>2024</v>
      </c>
      <c r="M263" s="8" t="s">
        <v>1833</v>
      </c>
      <c r="N263" s="8" t="s">
        <v>41</v>
      </c>
      <c r="O263" s="8" t="s">
        <v>54</v>
      </c>
      <c r="P263" s="6" t="s">
        <v>65</v>
      </c>
      <c r="Q263" s="8" t="s">
        <v>132</v>
      </c>
      <c r="R263" s="10" t="s">
        <v>1342</v>
      </c>
      <c r="S263" s="11"/>
      <c r="T263" s="6"/>
      <c r="U263" s="28" t="str">
        <f>HYPERLINK("https://media.infra-m.ru/2079/2079282/cover/2079282.jpg", "Обложка")</f>
        <v>Обложка</v>
      </c>
      <c r="V263" s="28" t="str">
        <f>HYPERLINK("https://znanium.com/catalog/product/1048328", "Ознакомиться")</f>
        <v>Ознакомиться</v>
      </c>
      <c r="W263" s="8" t="s">
        <v>963</v>
      </c>
      <c r="X263" s="6"/>
      <c r="Y263" s="6"/>
      <c r="Z263" s="6"/>
      <c r="AA263" s="6" t="s">
        <v>320</v>
      </c>
    </row>
    <row r="264" spans="1:27" s="4" customFormat="1" ht="51.95" customHeight="1">
      <c r="A264" s="5">
        <v>0</v>
      </c>
      <c r="B264" s="6" t="s">
        <v>1834</v>
      </c>
      <c r="C264" s="7">
        <v>1050</v>
      </c>
      <c r="D264" s="8" t="s">
        <v>1835</v>
      </c>
      <c r="E264" s="8" t="s">
        <v>1836</v>
      </c>
      <c r="F264" s="8" t="s">
        <v>1837</v>
      </c>
      <c r="G264" s="6" t="s">
        <v>37</v>
      </c>
      <c r="H264" s="6" t="s">
        <v>38</v>
      </c>
      <c r="I264" s="8" t="s">
        <v>653</v>
      </c>
      <c r="J264" s="9">
        <v>1</v>
      </c>
      <c r="K264" s="9">
        <v>260</v>
      </c>
      <c r="L264" s="9">
        <v>2022</v>
      </c>
      <c r="M264" s="8" t="s">
        <v>1838</v>
      </c>
      <c r="N264" s="8" t="s">
        <v>41</v>
      </c>
      <c r="O264" s="8" t="s">
        <v>54</v>
      </c>
      <c r="P264" s="6" t="s">
        <v>65</v>
      </c>
      <c r="Q264" s="8" t="s">
        <v>66</v>
      </c>
      <c r="R264" s="10" t="s">
        <v>1839</v>
      </c>
      <c r="S264" s="11" t="s">
        <v>1840</v>
      </c>
      <c r="T264" s="6"/>
      <c r="U264" s="28" t="str">
        <f>HYPERLINK("https://media.infra-m.ru/1860/1860691/cover/1860691.jpg", "Обложка")</f>
        <v>Обложка</v>
      </c>
      <c r="V264" s="28" t="str">
        <f>HYPERLINK("https://znanium.com/catalog/product/1860691", "Ознакомиться")</f>
        <v>Ознакомиться</v>
      </c>
      <c r="W264" s="8" t="s">
        <v>1001</v>
      </c>
      <c r="X264" s="6"/>
      <c r="Y264" s="6"/>
      <c r="Z264" s="6"/>
      <c r="AA264" s="6" t="s">
        <v>108</v>
      </c>
    </row>
    <row r="265" spans="1:27" s="4" customFormat="1" ht="51.95" customHeight="1">
      <c r="A265" s="5">
        <v>0</v>
      </c>
      <c r="B265" s="6" t="s">
        <v>1841</v>
      </c>
      <c r="C265" s="7">
        <v>1990</v>
      </c>
      <c r="D265" s="8" t="s">
        <v>1842</v>
      </c>
      <c r="E265" s="8" t="s">
        <v>1843</v>
      </c>
      <c r="F265" s="8" t="s">
        <v>1837</v>
      </c>
      <c r="G265" s="6" t="s">
        <v>37</v>
      </c>
      <c r="H265" s="6" t="s">
        <v>38</v>
      </c>
      <c r="I265" s="8" t="s">
        <v>653</v>
      </c>
      <c r="J265" s="9">
        <v>1</v>
      </c>
      <c r="K265" s="9">
        <v>544</v>
      </c>
      <c r="L265" s="9">
        <v>2022</v>
      </c>
      <c r="M265" s="8" t="s">
        <v>1844</v>
      </c>
      <c r="N265" s="8" t="s">
        <v>41</v>
      </c>
      <c r="O265" s="8" t="s">
        <v>54</v>
      </c>
      <c r="P265" s="6" t="s">
        <v>65</v>
      </c>
      <c r="Q265" s="8" t="s">
        <v>66</v>
      </c>
      <c r="R265" s="10" t="s">
        <v>1845</v>
      </c>
      <c r="S265" s="11" t="s">
        <v>1840</v>
      </c>
      <c r="T265" s="6"/>
      <c r="U265" s="28" t="str">
        <f>HYPERLINK("https://media.infra-m.ru/1864/1864099/cover/1864099.jpg", "Обложка")</f>
        <v>Обложка</v>
      </c>
      <c r="V265" s="28" t="str">
        <f>HYPERLINK("https://znanium.com/catalog/product/1864099", "Ознакомиться")</f>
        <v>Ознакомиться</v>
      </c>
      <c r="W265" s="8" t="s">
        <v>1001</v>
      </c>
      <c r="X265" s="6"/>
      <c r="Y265" s="6"/>
      <c r="Z265" s="6"/>
      <c r="AA265" s="6" t="s">
        <v>108</v>
      </c>
    </row>
    <row r="266" spans="1:27" s="4" customFormat="1" ht="51.95" customHeight="1">
      <c r="A266" s="5">
        <v>0</v>
      </c>
      <c r="B266" s="6" t="s">
        <v>1846</v>
      </c>
      <c r="C266" s="7">
        <v>1674</v>
      </c>
      <c r="D266" s="8" t="s">
        <v>1847</v>
      </c>
      <c r="E266" s="8" t="s">
        <v>1848</v>
      </c>
      <c r="F266" s="8" t="s">
        <v>1849</v>
      </c>
      <c r="G266" s="6" t="s">
        <v>121</v>
      </c>
      <c r="H266" s="6" t="s">
        <v>38</v>
      </c>
      <c r="I266" s="8" t="s">
        <v>62</v>
      </c>
      <c r="J266" s="9">
        <v>1</v>
      </c>
      <c r="K266" s="9">
        <v>365</v>
      </c>
      <c r="L266" s="9">
        <v>2024</v>
      </c>
      <c r="M266" s="8" t="s">
        <v>1850</v>
      </c>
      <c r="N266" s="8" t="s">
        <v>41</v>
      </c>
      <c r="O266" s="8" t="s">
        <v>54</v>
      </c>
      <c r="P266" s="6" t="s">
        <v>65</v>
      </c>
      <c r="Q266" s="8" t="s">
        <v>66</v>
      </c>
      <c r="R266" s="10" t="s">
        <v>1181</v>
      </c>
      <c r="S266" s="11" t="s">
        <v>1851</v>
      </c>
      <c r="T266" s="6" t="s">
        <v>89</v>
      </c>
      <c r="U266" s="28" t="str">
        <f>HYPERLINK("https://media.infra-m.ru/2087/2087315/cover/2087315.jpg", "Обложка")</f>
        <v>Обложка</v>
      </c>
      <c r="V266" s="28" t="str">
        <f>HYPERLINK("https://znanium.com/catalog/product/1853541", "Ознакомиться")</f>
        <v>Ознакомиться</v>
      </c>
      <c r="W266" s="8" t="s">
        <v>1852</v>
      </c>
      <c r="X266" s="6"/>
      <c r="Y266" s="6"/>
      <c r="Z266" s="6"/>
      <c r="AA266" s="6" t="s">
        <v>70</v>
      </c>
    </row>
    <row r="267" spans="1:27" s="4" customFormat="1" ht="51.95" customHeight="1">
      <c r="A267" s="5">
        <v>0</v>
      </c>
      <c r="B267" s="6" t="s">
        <v>1853</v>
      </c>
      <c r="C267" s="7">
        <v>1360</v>
      </c>
      <c r="D267" s="8" t="s">
        <v>1854</v>
      </c>
      <c r="E267" s="8" t="s">
        <v>1855</v>
      </c>
      <c r="F267" s="8" t="s">
        <v>1856</v>
      </c>
      <c r="G267" s="6" t="s">
        <v>121</v>
      </c>
      <c r="H267" s="6" t="s">
        <v>38</v>
      </c>
      <c r="I267" s="8" t="s">
        <v>62</v>
      </c>
      <c r="J267" s="9">
        <v>14</v>
      </c>
      <c r="K267" s="9">
        <v>375</v>
      </c>
      <c r="L267" s="9">
        <v>2021</v>
      </c>
      <c r="M267" s="8" t="s">
        <v>1857</v>
      </c>
      <c r="N267" s="8" t="s">
        <v>41</v>
      </c>
      <c r="O267" s="8" t="s">
        <v>54</v>
      </c>
      <c r="P267" s="6" t="s">
        <v>65</v>
      </c>
      <c r="Q267" s="8" t="s">
        <v>66</v>
      </c>
      <c r="R267" s="10" t="s">
        <v>1858</v>
      </c>
      <c r="S267" s="11" t="s">
        <v>1859</v>
      </c>
      <c r="T267" s="6"/>
      <c r="U267" s="28" t="str">
        <f>HYPERLINK("https://media.infra-m.ru/1160/1160964/cover/1160964.jpg", "Обложка")</f>
        <v>Обложка</v>
      </c>
      <c r="V267" s="28" t="str">
        <f>HYPERLINK("https://znanium.com/catalog/product/1160964", "Ознакомиться")</f>
        <v>Ознакомиться</v>
      </c>
      <c r="W267" s="8" t="s">
        <v>784</v>
      </c>
      <c r="X267" s="6"/>
      <c r="Y267" s="6"/>
      <c r="Z267" s="6"/>
      <c r="AA267" s="6" t="s">
        <v>108</v>
      </c>
    </row>
    <row r="268" spans="1:27" s="4" customFormat="1" ht="42" customHeight="1">
      <c r="A268" s="5">
        <v>0</v>
      </c>
      <c r="B268" s="6" t="s">
        <v>1860</v>
      </c>
      <c r="C268" s="7">
        <v>1574.9</v>
      </c>
      <c r="D268" s="8" t="s">
        <v>1861</v>
      </c>
      <c r="E268" s="8" t="s">
        <v>1862</v>
      </c>
      <c r="F268" s="8" t="s">
        <v>695</v>
      </c>
      <c r="G268" s="6" t="s">
        <v>121</v>
      </c>
      <c r="H268" s="6" t="s">
        <v>38</v>
      </c>
      <c r="I268" s="8" t="s">
        <v>130</v>
      </c>
      <c r="J268" s="9">
        <v>1</v>
      </c>
      <c r="K268" s="9">
        <v>351</v>
      </c>
      <c r="L268" s="9">
        <v>2023</v>
      </c>
      <c r="M268" s="8" t="s">
        <v>1863</v>
      </c>
      <c r="N268" s="8" t="s">
        <v>41</v>
      </c>
      <c r="O268" s="8" t="s">
        <v>54</v>
      </c>
      <c r="P268" s="6" t="s">
        <v>65</v>
      </c>
      <c r="Q268" s="8" t="s">
        <v>66</v>
      </c>
      <c r="R268" s="10" t="s">
        <v>1864</v>
      </c>
      <c r="S268" s="11"/>
      <c r="T268" s="6"/>
      <c r="U268" s="28" t="str">
        <f>HYPERLINK("https://media.infra-m.ru/1911/1911211/cover/1911211.jpg", "Обложка")</f>
        <v>Обложка</v>
      </c>
      <c r="V268" s="28" t="str">
        <f>HYPERLINK("https://znanium.com/catalog/product/1911211", "Ознакомиться")</f>
        <v>Ознакомиться</v>
      </c>
      <c r="W268" s="8" t="s">
        <v>699</v>
      </c>
      <c r="X268" s="6"/>
      <c r="Y268" s="6"/>
      <c r="Z268" s="6"/>
      <c r="AA268" s="6" t="s">
        <v>674</v>
      </c>
    </row>
    <row r="269" spans="1:27" s="4" customFormat="1" ht="51.95" customHeight="1">
      <c r="A269" s="5">
        <v>0</v>
      </c>
      <c r="B269" s="6" t="s">
        <v>1865</v>
      </c>
      <c r="C269" s="7">
        <v>1564</v>
      </c>
      <c r="D269" s="8" t="s">
        <v>1866</v>
      </c>
      <c r="E269" s="8" t="s">
        <v>1867</v>
      </c>
      <c r="F269" s="8" t="s">
        <v>1868</v>
      </c>
      <c r="G269" s="6" t="s">
        <v>37</v>
      </c>
      <c r="H269" s="6" t="s">
        <v>38</v>
      </c>
      <c r="I269" s="8" t="s">
        <v>62</v>
      </c>
      <c r="J269" s="9">
        <v>1</v>
      </c>
      <c r="K269" s="9">
        <v>341</v>
      </c>
      <c r="L269" s="9">
        <v>2024</v>
      </c>
      <c r="M269" s="8" t="s">
        <v>1869</v>
      </c>
      <c r="N269" s="8" t="s">
        <v>41</v>
      </c>
      <c r="O269" s="8" t="s">
        <v>54</v>
      </c>
      <c r="P269" s="6" t="s">
        <v>85</v>
      </c>
      <c r="Q269" s="8" t="s">
        <v>66</v>
      </c>
      <c r="R269" s="10" t="s">
        <v>1870</v>
      </c>
      <c r="S269" s="11" t="s">
        <v>1871</v>
      </c>
      <c r="T269" s="6"/>
      <c r="U269" s="28" t="str">
        <f>HYPERLINK("https://media.infra-m.ru/2087/2087289/cover/2087289.jpg", "Обложка")</f>
        <v>Обложка</v>
      </c>
      <c r="V269" s="28" t="str">
        <f>HYPERLINK("https://znanium.com/catalog/product/1853512", "Ознакомиться")</f>
        <v>Ознакомиться</v>
      </c>
      <c r="W269" s="8" t="s">
        <v>216</v>
      </c>
      <c r="X269" s="6"/>
      <c r="Y269" s="6"/>
      <c r="Z269" s="6"/>
      <c r="AA269" s="6" t="s">
        <v>70</v>
      </c>
    </row>
    <row r="270" spans="1:27" s="4" customFormat="1" ht="51.95" customHeight="1">
      <c r="A270" s="5">
        <v>0</v>
      </c>
      <c r="B270" s="6" t="s">
        <v>1872</v>
      </c>
      <c r="C270" s="13">
        <v>740</v>
      </c>
      <c r="D270" s="8" t="s">
        <v>1873</v>
      </c>
      <c r="E270" s="8" t="s">
        <v>1874</v>
      </c>
      <c r="F270" s="8" t="s">
        <v>1875</v>
      </c>
      <c r="G270" s="6" t="s">
        <v>52</v>
      </c>
      <c r="H270" s="6" t="s">
        <v>38</v>
      </c>
      <c r="I270" s="8" t="s">
        <v>130</v>
      </c>
      <c r="J270" s="9">
        <v>1</v>
      </c>
      <c r="K270" s="9">
        <v>164</v>
      </c>
      <c r="L270" s="9">
        <v>2023</v>
      </c>
      <c r="M270" s="8" t="s">
        <v>1876</v>
      </c>
      <c r="N270" s="8" t="s">
        <v>41</v>
      </c>
      <c r="O270" s="8" t="s">
        <v>54</v>
      </c>
      <c r="P270" s="6" t="s">
        <v>65</v>
      </c>
      <c r="Q270" s="8" t="s">
        <v>132</v>
      </c>
      <c r="R270" s="10" t="s">
        <v>1877</v>
      </c>
      <c r="S270" s="11" t="s">
        <v>1878</v>
      </c>
      <c r="T270" s="6"/>
      <c r="U270" s="28" t="str">
        <f>HYPERLINK("https://media.infra-m.ru/1989/1989217/cover/1989217.jpg", "Обложка")</f>
        <v>Обложка</v>
      </c>
      <c r="V270" s="28" t="str">
        <f>HYPERLINK("https://znanium.com/catalog/product/1989217", "Ознакомиться")</f>
        <v>Ознакомиться</v>
      </c>
      <c r="W270" s="8" t="s">
        <v>216</v>
      </c>
      <c r="X270" s="6"/>
      <c r="Y270" s="6"/>
      <c r="Z270" s="6"/>
      <c r="AA270" s="6" t="s">
        <v>161</v>
      </c>
    </row>
    <row r="271" spans="1:27" s="4" customFormat="1" ht="51.95" customHeight="1">
      <c r="A271" s="5">
        <v>0</v>
      </c>
      <c r="B271" s="6" t="s">
        <v>1879</v>
      </c>
      <c r="C271" s="7">
        <v>1300</v>
      </c>
      <c r="D271" s="8" t="s">
        <v>1880</v>
      </c>
      <c r="E271" s="8" t="s">
        <v>1881</v>
      </c>
      <c r="F271" s="8" t="s">
        <v>1882</v>
      </c>
      <c r="G271" s="6" t="s">
        <v>37</v>
      </c>
      <c r="H271" s="6" t="s">
        <v>38</v>
      </c>
      <c r="I271" s="8" t="s">
        <v>62</v>
      </c>
      <c r="J271" s="9">
        <v>1</v>
      </c>
      <c r="K271" s="9">
        <v>288</v>
      </c>
      <c r="L271" s="9">
        <v>2023</v>
      </c>
      <c r="M271" s="8" t="s">
        <v>1883</v>
      </c>
      <c r="N271" s="8" t="s">
        <v>41</v>
      </c>
      <c r="O271" s="8" t="s">
        <v>54</v>
      </c>
      <c r="P271" s="6" t="s">
        <v>65</v>
      </c>
      <c r="Q271" s="8" t="s">
        <v>66</v>
      </c>
      <c r="R271" s="10" t="s">
        <v>1877</v>
      </c>
      <c r="S271" s="11" t="s">
        <v>1884</v>
      </c>
      <c r="T271" s="6"/>
      <c r="U271" s="28" t="str">
        <f>HYPERLINK("https://media.infra-m.ru/1911/1911157/cover/1911157.jpg", "Обложка")</f>
        <v>Обложка</v>
      </c>
      <c r="V271" s="28" t="str">
        <f>HYPERLINK("https://znanium.com/catalog/product/1911157", "Ознакомиться")</f>
        <v>Ознакомиться</v>
      </c>
      <c r="W271" s="8" t="s">
        <v>216</v>
      </c>
      <c r="X271" s="6"/>
      <c r="Y271" s="6"/>
      <c r="Z271" s="6"/>
      <c r="AA271" s="6" t="s">
        <v>100</v>
      </c>
    </row>
    <row r="272" spans="1:27" s="4" customFormat="1" ht="51.95" customHeight="1">
      <c r="A272" s="5">
        <v>0</v>
      </c>
      <c r="B272" s="6" t="s">
        <v>1885</v>
      </c>
      <c r="C272" s="7">
        <v>1780</v>
      </c>
      <c r="D272" s="8" t="s">
        <v>1886</v>
      </c>
      <c r="E272" s="8" t="s">
        <v>1887</v>
      </c>
      <c r="F272" s="8" t="s">
        <v>1888</v>
      </c>
      <c r="G272" s="6" t="s">
        <v>37</v>
      </c>
      <c r="H272" s="6" t="s">
        <v>38</v>
      </c>
      <c r="I272" s="8" t="s">
        <v>1278</v>
      </c>
      <c r="J272" s="9">
        <v>1</v>
      </c>
      <c r="K272" s="9">
        <v>388</v>
      </c>
      <c r="L272" s="9">
        <v>2024</v>
      </c>
      <c r="M272" s="8" t="s">
        <v>1889</v>
      </c>
      <c r="N272" s="8" t="s">
        <v>41</v>
      </c>
      <c r="O272" s="8" t="s">
        <v>54</v>
      </c>
      <c r="P272" s="6" t="s">
        <v>85</v>
      </c>
      <c r="Q272" s="8" t="s">
        <v>66</v>
      </c>
      <c r="R272" s="10" t="s">
        <v>1890</v>
      </c>
      <c r="S272" s="11" t="s">
        <v>1891</v>
      </c>
      <c r="T272" s="6"/>
      <c r="U272" s="28" t="str">
        <f>HYPERLINK("https://media.infra-m.ru/2100/2100015/cover/2100015.jpg", "Обложка")</f>
        <v>Обложка</v>
      </c>
      <c r="V272" s="28" t="str">
        <f>HYPERLINK("https://znanium.com/catalog/product/2100015", "Ознакомиться")</f>
        <v>Ознакомиться</v>
      </c>
      <c r="W272" s="8" t="s">
        <v>1001</v>
      </c>
      <c r="X272" s="6"/>
      <c r="Y272" s="6"/>
      <c r="Z272" s="6"/>
      <c r="AA272" s="6" t="s">
        <v>108</v>
      </c>
    </row>
    <row r="273" spans="1:27" s="4" customFormat="1" ht="51.95" customHeight="1">
      <c r="A273" s="5">
        <v>0</v>
      </c>
      <c r="B273" s="6" t="s">
        <v>1892</v>
      </c>
      <c r="C273" s="7">
        <v>2390</v>
      </c>
      <c r="D273" s="8" t="s">
        <v>1893</v>
      </c>
      <c r="E273" s="8" t="s">
        <v>1894</v>
      </c>
      <c r="F273" s="8" t="s">
        <v>1888</v>
      </c>
      <c r="G273" s="6" t="s">
        <v>121</v>
      </c>
      <c r="H273" s="6" t="s">
        <v>38</v>
      </c>
      <c r="I273" s="8" t="s">
        <v>1278</v>
      </c>
      <c r="J273" s="9">
        <v>1</v>
      </c>
      <c r="K273" s="9">
        <v>518</v>
      </c>
      <c r="L273" s="9">
        <v>2024</v>
      </c>
      <c r="M273" s="8" t="s">
        <v>1895</v>
      </c>
      <c r="N273" s="8" t="s">
        <v>41</v>
      </c>
      <c r="O273" s="8" t="s">
        <v>54</v>
      </c>
      <c r="P273" s="6" t="s">
        <v>85</v>
      </c>
      <c r="Q273" s="8" t="s">
        <v>66</v>
      </c>
      <c r="R273" s="10" t="s">
        <v>1896</v>
      </c>
      <c r="S273" s="11" t="s">
        <v>1891</v>
      </c>
      <c r="T273" s="6"/>
      <c r="U273" s="28" t="str">
        <f>HYPERLINK("https://media.infra-m.ru/2098/2098502/cover/2098502.jpg", "Обложка")</f>
        <v>Обложка</v>
      </c>
      <c r="V273" s="28" t="str">
        <f>HYPERLINK("https://znanium.com/catalog/product/2098502", "Ознакомиться")</f>
        <v>Ознакомиться</v>
      </c>
      <c r="W273" s="8" t="s">
        <v>1001</v>
      </c>
      <c r="X273" s="6"/>
      <c r="Y273" s="6"/>
      <c r="Z273" s="6"/>
      <c r="AA273" s="6" t="s">
        <v>108</v>
      </c>
    </row>
    <row r="274" spans="1:27" s="4" customFormat="1" ht="51.95" customHeight="1">
      <c r="A274" s="5">
        <v>0</v>
      </c>
      <c r="B274" s="6" t="s">
        <v>1897</v>
      </c>
      <c r="C274" s="7">
        <v>2517</v>
      </c>
      <c r="D274" s="8" t="s">
        <v>1898</v>
      </c>
      <c r="E274" s="8" t="s">
        <v>1881</v>
      </c>
      <c r="F274" s="8" t="s">
        <v>1899</v>
      </c>
      <c r="G274" s="6" t="s">
        <v>37</v>
      </c>
      <c r="H274" s="6" t="s">
        <v>38</v>
      </c>
      <c r="I274" s="8" t="s">
        <v>62</v>
      </c>
      <c r="J274" s="9">
        <v>1</v>
      </c>
      <c r="K274" s="9">
        <v>502</v>
      </c>
      <c r="L274" s="9">
        <v>2024</v>
      </c>
      <c r="M274" s="8" t="s">
        <v>1900</v>
      </c>
      <c r="N274" s="8" t="s">
        <v>41</v>
      </c>
      <c r="O274" s="8" t="s">
        <v>54</v>
      </c>
      <c r="P274" s="6" t="s">
        <v>65</v>
      </c>
      <c r="Q274" s="8" t="s">
        <v>66</v>
      </c>
      <c r="R274" s="10" t="s">
        <v>1901</v>
      </c>
      <c r="S274" s="11" t="s">
        <v>1902</v>
      </c>
      <c r="T274" s="6"/>
      <c r="U274" s="28" t="str">
        <f>HYPERLINK("https://media.infra-m.ru/2117/2117178/cover/2117178.jpg", "Обложка")</f>
        <v>Обложка</v>
      </c>
      <c r="V274" s="28" t="str">
        <f>HYPERLINK("https://znanium.com/catalog/product/1898119", "Ознакомиться")</f>
        <v>Ознакомиться</v>
      </c>
      <c r="W274" s="8" t="s">
        <v>143</v>
      </c>
      <c r="X274" s="6"/>
      <c r="Y274" s="6"/>
      <c r="Z274" s="6"/>
      <c r="AA274" s="6" t="s">
        <v>108</v>
      </c>
    </row>
    <row r="275" spans="1:27" s="4" customFormat="1" ht="51.95" customHeight="1">
      <c r="A275" s="5">
        <v>0</v>
      </c>
      <c r="B275" s="6" t="s">
        <v>1903</v>
      </c>
      <c r="C275" s="7">
        <v>1034</v>
      </c>
      <c r="D275" s="8" t="s">
        <v>1904</v>
      </c>
      <c r="E275" s="8" t="s">
        <v>1905</v>
      </c>
      <c r="F275" s="8" t="s">
        <v>1906</v>
      </c>
      <c r="G275" s="6" t="s">
        <v>37</v>
      </c>
      <c r="H275" s="6" t="s">
        <v>38</v>
      </c>
      <c r="I275" s="8" t="s">
        <v>62</v>
      </c>
      <c r="J275" s="9">
        <v>1</v>
      </c>
      <c r="K275" s="9">
        <v>227</v>
      </c>
      <c r="L275" s="9">
        <v>2023</v>
      </c>
      <c r="M275" s="8" t="s">
        <v>1907</v>
      </c>
      <c r="N275" s="8" t="s">
        <v>41</v>
      </c>
      <c r="O275" s="8" t="s">
        <v>54</v>
      </c>
      <c r="P275" s="6" t="s">
        <v>65</v>
      </c>
      <c r="Q275" s="8" t="s">
        <v>132</v>
      </c>
      <c r="R275" s="10" t="s">
        <v>1908</v>
      </c>
      <c r="S275" s="11" t="s">
        <v>1909</v>
      </c>
      <c r="T275" s="6" t="s">
        <v>89</v>
      </c>
      <c r="U275" s="28" t="str">
        <f>HYPERLINK("https://media.infra-m.ru/2002/2002624/cover/2002624.jpg", "Обложка")</f>
        <v>Обложка</v>
      </c>
      <c r="V275" s="28" t="str">
        <f>HYPERLINK("https://znanium.com/catalog/product/1005911", "Ознакомиться")</f>
        <v>Ознакомиться</v>
      </c>
      <c r="W275" s="8" t="s">
        <v>1910</v>
      </c>
      <c r="X275" s="6"/>
      <c r="Y275" s="6"/>
      <c r="Z275" s="6"/>
      <c r="AA275" s="6" t="s">
        <v>320</v>
      </c>
    </row>
    <row r="276" spans="1:27" s="4" customFormat="1" ht="51.95" customHeight="1">
      <c r="A276" s="5">
        <v>0</v>
      </c>
      <c r="B276" s="6" t="s">
        <v>1911</v>
      </c>
      <c r="C276" s="13">
        <v>824</v>
      </c>
      <c r="D276" s="8" t="s">
        <v>1912</v>
      </c>
      <c r="E276" s="8" t="s">
        <v>1913</v>
      </c>
      <c r="F276" s="8" t="s">
        <v>1914</v>
      </c>
      <c r="G276" s="6" t="s">
        <v>37</v>
      </c>
      <c r="H276" s="6" t="s">
        <v>38</v>
      </c>
      <c r="I276" s="8" t="s">
        <v>187</v>
      </c>
      <c r="J276" s="9">
        <v>1</v>
      </c>
      <c r="K276" s="9">
        <v>181</v>
      </c>
      <c r="L276" s="9">
        <v>2023</v>
      </c>
      <c r="M276" s="8" t="s">
        <v>1915</v>
      </c>
      <c r="N276" s="8" t="s">
        <v>41</v>
      </c>
      <c r="O276" s="8" t="s">
        <v>54</v>
      </c>
      <c r="P276" s="6" t="s">
        <v>65</v>
      </c>
      <c r="Q276" s="8" t="s">
        <v>189</v>
      </c>
      <c r="R276" s="10" t="s">
        <v>1916</v>
      </c>
      <c r="S276" s="11" t="s">
        <v>1917</v>
      </c>
      <c r="T276" s="6"/>
      <c r="U276" s="28" t="str">
        <f>HYPERLINK("https://media.infra-m.ru/1993/1993662/cover/1993662.jpg", "Обложка")</f>
        <v>Обложка</v>
      </c>
      <c r="V276" s="28" t="str">
        <f>HYPERLINK("https://znanium.com/catalog/product/1412835", "Ознакомиться")</f>
        <v>Ознакомиться</v>
      </c>
      <c r="W276" s="8" t="s">
        <v>1918</v>
      </c>
      <c r="X276" s="6"/>
      <c r="Y276" s="6"/>
      <c r="Z276" s="6" t="s">
        <v>1919</v>
      </c>
      <c r="AA276" s="6" t="s">
        <v>108</v>
      </c>
    </row>
    <row r="277" spans="1:27" s="4" customFormat="1" ht="51.95" customHeight="1">
      <c r="A277" s="5">
        <v>0</v>
      </c>
      <c r="B277" s="6" t="s">
        <v>1920</v>
      </c>
      <c r="C277" s="7">
        <v>2712</v>
      </c>
      <c r="D277" s="8" t="s">
        <v>1921</v>
      </c>
      <c r="E277" s="8" t="s">
        <v>1922</v>
      </c>
      <c r="F277" s="8" t="s">
        <v>1923</v>
      </c>
      <c r="G277" s="6" t="s">
        <v>121</v>
      </c>
      <c r="H277" s="6" t="s">
        <v>38</v>
      </c>
      <c r="I277" s="8" t="s">
        <v>62</v>
      </c>
      <c r="J277" s="9">
        <v>1</v>
      </c>
      <c r="K277" s="9">
        <v>592</v>
      </c>
      <c r="L277" s="9">
        <v>2024</v>
      </c>
      <c r="M277" s="8" t="s">
        <v>1924</v>
      </c>
      <c r="N277" s="8" t="s">
        <v>41</v>
      </c>
      <c r="O277" s="8" t="s">
        <v>54</v>
      </c>
      <c r="P277" s="6" t="s">
        <v>85</v>
      </c>
      <c r="Q277" s="8" t="s">
        <v>66</v>
      </c>
      <c r="R277" s="10" t="s">
        <v>1925</v>
      </c>
      <c r="S277" s="11" t="s">
        <v>1926</v>
      </c>
      <c r="T277" s="6"/>
      <c r="U277" s="28" t="str">
        <f>HYPERLINK("https://media.infra-m.ru/2082/2082910/cover/2082910.jpg", "Обложка")</f>
        <v>Обложка</v>
      </c>
      <c r="V277" s="28" t="str">
        <f>HYPERLINK("https://znanium.com/catalog/product/2082910", "Ознакомиться")</f>
        <v>Ознакомиться</v>
      </c>
      <c r="W277" s="8" t="s">
        <v>902</v>
      </c>
      <c r="X277" s="6"/>
      <c r="Y277" s="6"/>
      <c r="Z277" s="6"/>
      <c r="AA277" s="6" t="s">
        <v>70</v>
      </c>
    </row>
    <row r="278" spans="1:27" s="4" customFormat="1" ht="51.95" customHeight="1">
      <c r="A278" s="5">
        <v>0</v>
      </c>
      <c r="B278" s="6" t="s">
        <v>1927</v>
      </c>
      <c r="C278" s="7">
        <v>1600</v>
      </c>
      <c r="D278" s="8" t="s">
        <v>1928</v>
      </c>
      <c r="E278" s="8" t="s">
        <v>1929</v>
      </c>
      <c r="F278" s="8" t="s">
        <v>1930</v>
      </c>
      <c r="G278" s="6" t="s">
        <v>37</v>
      </c>
      <c r="H278" s="6" t="s">
        <v>122</v>
      </c>
      <c r="I278" s="8" t="s">
        <v>1931</v>
      </c>
      <c r="J278" s="9">
        <v>1</v>
      </c>
      <c r="K278" s="9">
        <v>340</v>
      </c>
      <c r="L278" s="9">
        <v>2024</v>
      </c>
      <c r="M278" s="8" t="s">
        <v>1932</v>
      </c>
      <c r="N278" s="8" t="s">
        <v>41</v>
      </c>
      <c r="O278" s="8" t="s">
        <v>42</v>
      </c>
      <c r="P278" s="6" t="s">
        <v>1933</v>
      </c>
      <c r="Q278" s="8" t="s">
        <v>44</v>
      </c>
      <c r="R278" s="10" t="s">
        <v>1934</v>
      </c>
      <c r="S278" s="11"/>
      <c r="T278" s="6"/>
      <c r="U278" s="28" t="str">
        <f>HYPERLINK("https://media.infra-m.ru/2083/2083348/cover/2083348.jpg", "Обложка")</f>
        <v>Обложка</v>
      </c>
      <c r="V278" s="12"/>
      <c r="W278" s="8" t="s">
        <v>1935</v>
      </c>
      <c r="X278" s="6"/>
      <c r="Y278" s="6"/>
      <c r="Z278" s="6"/>
      <c r="AA278" s="6" t="s">
        <v>108</v>
      </c>
    </row>
    <row r="279" spans="1:27" s="4" customFormat="1" ht="51.95" customHeight="1">
      <c r="A279" s="5">
        <v>0</v>
      </c>
      <c r="B279" s="6" t="s">
        <v>1936</v>
      </c>
      <c r="C279" s="7">
        <v>1850</v>
      </c>
      <c r="D279" s="8" t="s">
        <v>1937</v>
      </c>
      <c r="E279" s="8" t="s">
        <v>1938</v>
      </c>
      <c r="F279" s="8" t="s">
        <v>1939</v>
      </c>
      <c r="G279" s="6" t="s">
        <v>37</v>
      </c>
      <c r="H279" s="6" t="s">
        <v>38</v>
      </c>
      <c r="I279" s="8" t="s">
        <v>130</v>
      </c>
      <c r="J279" s="9">
        <v>1</v>
      </c>
      <c r="K279" s="9">
        <v>399</v>
      </c>
      <c r="L279" s="9">
        <v>2023</v>
      </c>
      <c r="M279" s="8" t="s">
        <v>1940</v>
      </c>
      <c r="N279" s="8" t="s">
        <v>41</v>
      </c>
      <c r="O279" s="8" t="s">
        <v>64</v>
      </c>
      <c r="P279" s="6" t="s">
        <v>65</v>
      </c>
      <c r="Q279" s="8" t="s">
        <v>132</v>
      </c>
      <c r="R279" s="10" t="s">
        <v>1941</v>
      </c>
      <c r="S279" s="11" t="s">
        <v>1942</v>
      </c>
      <c r="T279" s="6"/>
      <c r="U279" s="28" t="str">
        <f>HYPERLINK("https://media.infra-m.ru/2023/2023162/cover/2023162.jpg", "Обложка")</f>
        <v>Обложка</v>
      </c>
      <c r="V279" s="28" t="str">
        <f>HYPERLINK("https://znanium.com/catalog/product/2023162", "Ознакомиться")</f>
        <v>Ознакомиться</v>
      </c>
      <c r="W279" s="8" t="s">
        <v>1943</v>
      </c>
      <c r="X279" s="6"/>
      <c r="Y279" s="6" t="s">
        <v>30</v>
      </c>
      <c r="Z279" s="6"/>
      <c r="AA279" s="6" t="s">
        <v>161</v>
      </c>
    </row>
    <row r="280" spans="1:27" s="4" customFormat="1" ht="51.95" customHeight="1">
      <c r="A280" s="5">
        <v>0</v>
      </c>
      <c r="B280" s="6" t="s">
        <v>1944</v>
      </c>
      <c r="C280" s="7">
        <v>1314.9</v>
      </c>
      <c r="D280" s="8" t="s">
        <v>1945</v>
      </c>
      <c r="E280" s="8" t="s">
        <v>1946</v>
      </c>
      <c r="F280" s="8" t="s">
        <v>1947</v>
      </c>
      <c r="G280" s="6" t="s">
        <v>121</v>
      </c>
      <c r="H280" s="6" t="s">
        <v>38</v>
      </c>
      <c r="I280" s="8" t="s">
        <v>62</v>
      </c>
      <c r="J280" s="9">
        <v>1</v>
      </c>
      <c r="K280" s="9">
        <v>292</v>
      </c>
      <c r="L280" s="9">
        <v>2023</v>
      </c>
      <c r="M280" s="8" t="s">
        <v>1948</v>
      </c>
      <c r="N280" s="8" t="s">
        <v>41</v>
      </c>
      <c r="O280" s="8" t="s">
        <v>64</v>
      </c>
      <c r="P280" s="6" t="s">
        <v>65</v>
      </c>
      <c r="Q280" s="8" t="s">
        <v>66</v>
      </c>
      <c r="R280" s="10" t="s">
        <v>1949</v>
      </c>
      <c r="S280" s="11"/>
      <c r="T280" s="6"/>
      <c r="U280" s="28" t="str">
        <f>HYPERLINK("https://media.infra-m.ru/1981/1981625/cover/1981625.jpg", "Обложка")</f>
        <v>Обложка</v>
      </c>
      <c r="V280" s="28" t="str">
        <f>HYPERLINK("https://znanium.com/catalog/product/1407938", "Ознакомиться")</f>
        <v>Ознакомиться</v>
      </c>
      <c r="W280" s="8" t="s">
        <v>666</v>
      </c>
      <c r="X280" s="6"/>
      <c r="Y280" s="6"/>
      <c r="Z280" s="6"/>
      <c r="AA280" s="6" t="s">
        <v>100</v>
      </c>
    </row>
    <row r="281" spans="1:27" s="4" customFormat="1" ht="51.95" customHeight="1">
      <c r="A281" s="5">
        <v>0</v>
      </c>
      <c r="B281" s="6" t="s">
        <v>1950</v>
      </c>
      <c r="C281" s="13">
        <v>540</v>
      </c>
      <c r="D281" s="8" t="s">
        <v>1951</v>
      </c>
      <c r="E281" s="8" t="s">
        <v>1952</v>
      </c>
      <c r="F281" s="8" t="s">
        <v>1953</v>
      </c>
      <c r="G281" s="6" t="s">
        <v>52</v>
      </c>
      <c r="H281" s="6" t="s">
        <v>38</v>
      </c>
      <c r="I281" s="8" t="s">
        <v>130</v>
      </c>
      <c r="J281" s="9">
        <v>1</v>
      </c>
      <c r="K281" s="9">
        <v>116</v>
      </c>
      <c r="L281" s="9">
        <v>2024</v>
      </c>
      <c r="M281" s="8" t="s">
        <v>1954</v>
      </c>
      <c r="N281" s="8" t="s">
        <v>41</v>
      </c>
      <c r="O281" s="8" t="s">
        <v>64</v>
      </c>
      <c r="P281" s="6" t="s">
        <v>65</v>
      </c>
      <c r="Q281" s="8" t="s">
        <v>66</v>
      </c>
      <c r="R281" s="10" t="s">
        <v>1599</v>
      </c>
      <c r="S281" s="11" t="s">
        <v>1955</v>
      </c>
      <c r="T281" s="6"/>
      <c r="U281" s="28" t="str">
        <f>HYPERLINK("https://media.infra-m.ru/2083/2083899/cover/2083899.jpg", "Обложка")</f>
        <v>Обложка</v>
      </c>
      <c r="V281" s="28" t="str">
        <f>HYPERLINK("https://znanium.com/catalog/product/2083899", "Ознакомиться")</f>
        <v>Ознакомиться</v>
      </c>
      <c r="W281" s="8" t="s">
        <v>730</v>
      </c>
      <c r="X281" s="6"/>
      <c r="Y281" s="6"/>
      <c r="Z281" s="6"/>
      <c r="AA281" s="6" t="s">
        <v>464</v>
      </c>
    </row>
    <row r="282" spans="1:27" s="4" customFormat="1" ht="51.95" customHeight="1">
      <c r="A282" s="5">
        <v>0</v>
      </c>
      <c r="B282" s="6" t="s">
        <v>1956</v>
      </c>
      <c r="C282" s="13">
        <v>810</v>
      </c>
      <c r="D282" s="8" t="s">
        <v>1957</v>
      </c>
      <c r="E282" s="8" t="s">
        <v>1958</v>
      </c>
      <c r="F282" s="8" t="s">
        <v>1959</v>
      </c>
      <c r="G282" s="6" t="s">
        <v>52</v>
      </c>
      <c r="H282" s="6" t="s">
        <v>38</v>
      </c>
      <c r="I282" s="8" t="s">
        <v>62</v>
      </c>
      <c r="J282" s="9">
        <v>1</v>
      </c>
      <c r="K282" s="9">
        <v>180</v>
      </c>
      <c r="L282" s="9">
        <v>2023</v>
      </c>
      <c r="M282" s="8" t="s">
        <v>1960</v>
      </c>
      <c r="N282" s="8" t="s">
        <v>41</v>
      </c>
      <c r="O282" s="8" t="s">
        <v>42</v>
      </c>
      <c r="P282" s="6" t="s">
        <v>65</v>
      </c>
      <c r="Q282" s="8" t="s">
        <v>66</v>
      </c>
      <c r="R282" s="10" t="s">
        <v>1961</v>
      </c>
      <c r="S282" s="11" t="s">
        <v>1962</v>
      </c>
      <c r="T282" s="6"/>
      <c r="U282" s="28" t="str">
        <f>HYPERLINK("https://media.infra-m.ru/1893/1893660/cover/1893660.jpg", "Обложка")</f>
        <v>Обложка</v>
      </c>
      <c r="V282" s="28" t="str">
        <f>HYPERLINK("https://znanium.com/catalog/product/1893660", "Ознакомиться")</f>
        <v>Ознакомиться</v>
      </c>
      <c r="W282" s="8" t="s">
        <v>1963</v>
      </c>
      <c r="X282" s="6"/>
      <c r="Y282" s="6"/>
      <c r="Z282" s="6"/>
      <c r="AA282" s="6" t="s">
        <v>320</v>
      </c>
    </row>
    <row r="283" spans="1:27" s="4" customFormat="1" ht="51.95" customHeight="1">
      <c r="A283" s="5">
        <v>0</v>
      </c>
      <c r="B283" s="6" t="s">
        <v>1964</v>
      </c>
      <c r="C283" s="7">
        <v>1474</v>
      </c>
      <c r="D283" s="8" t="s">
        <v>1965</v>
      </c>
      <c r="E283" s="8" t="s">
        <v>1966</v>
      </c>
      <c r="F283" s="8" t="s">
        <v>1967</v>
      </c>
      <c r="G283" s="6" t="s">
        <v>37</v>
      </c>
      <c r="H283" s="6" t="s">
        <v>38</v>
      </c>
      <c r="I283" s="8" t="s">
        <v>83</v>
      </c>
      <c r="J283" s="9">
        <v>1</v>
      </c>
      <c r="K283" s="9">
        <v>327</v>
      </c>
      <c r="L283" s="9">
        <v>2023</v>
      </c>
      <c r="M283" s="8" t="s">
        <v>1968</v>
      </c>
      <c r="N283" s="8" t="s">
        <v>41</v>
      </c>
      <c r="O283" s="8" t="s">
        <v>42</v>
      </c>
      <c r="P283" s="6" t="s">
        <v>65</v>
      </c>
      <c r="Q283" s="8" t="s">
        <v>1086</v>
      </c>
      <c r="R283" s="10" t="s">
        <v>1969</v>
      </c>
      <c r="S283" s="11" t="s">
        <v>1970</v>
      </c>
      <c r="T283" s="6"/>
      <c r="U283" s="28" t="str">
        <f>HYPERLINK("https://media.infra-m.ru/2045/2045827/cover/2045827.jpg", "Обложка")</f>
        <v>Обложка</v>
      </c>
      <c r="V283" s="28" t="str">
        <f>HYPERLINK("https://znanium.com/catalog/product/1000117", "Ознакомиться")</f>
        <v>Ознакомиться</v>
      </c>
      <c r="W283" s="8" t="s">
        <v>1971</v>
      </c>
      <c r="X283" s="6"/>
      <c r="Y283" s="6"/>
      <c r="Z283" s="6"/>
      <c r="AA283" s="6" t="s">
        <v>161</v>
      </c>
    </row>
    <row r="284" spans="1:27" s="4" customFormat="1" ht="42" customHeight="1">
      <c r="A284" s="5">
        <v>0</v>
      </c>
      <c r="B284" s="6" t="s">
        <v>1972</v>
      </c>
      <c r="C284" s="7">
        <v>1030</v>
      </c>
      <c r="D284" s="8" t="s">
        <v>1973</v>
      </c>
      <c r="E284" s="8" t="s">
        <v>1974</v>
      </c>
      <c r="F284" s="8" t="s">
        <v>1975</v>
      </c>
      <c r="G284" s="6" t="s">
        <v>37</v>
      </c>
      <c r="H284" s="6" t="s">
        <v>38</v>
      </c>
      <c r="I284" s="8" t="s">
        <v>1976</v>
      </c>
      <c r="J284" s="9">
        <v>1</v>
      </c>
      <c r="K284" s="9">
        <v>227</v>
      </c>
      <c r="L284" s="9">
        <v>2023</v>
      </c>
      <c r="M284" s="8" t="s">
        <v>1977</v>
      </c>
      <c r="N284" s="8" t="s">
        <v>41</v>
      </c>
      <c r="O284" s="8" t="s">
        <v>42</v>
      </c>
      <c r="P284" s="6" t="s">
        <v>85</v>
      </c>
      <c r="Q284" s="8" t="s">
        <v>1086</v>
      </c>
      <c r="R284" s="10" t="s">
        <v>1978</v>
      </c>
      <c r="S284" s="11"/>
      <c r="T284" s="6"/>
      <c r="U284" s="28" t="str">
        <f>HYPERLINK("https://media.infra-m.ru/1919/1919451/cover/1919451.jpg", "Обложка")</f>
        <v>Обложка</v>
      </c>
      <c r="V284" s="28" t="str">
        <f>HYPERLINK("https://znanium.com/catalog/product/1919451", "Ознакомиться")</f>
        <v>Ознакомиться</v>
      </c>
      <c r="W284" s="8" t="s">
        <v>1979</v>
      </c>
      <c r="X284" s="6"/>
      <c r="Y284" s="6"/>
      <c r="Z284" s="6"/>
      <c r="AA284" s="6" t="s">
        <v>108</v>
      </c>
    </row>
    <row r="285" spans="1:27" s="4" customFormat="1" ht="51.95" customHeight="1">
      <c r="A285" s="5">
        <v>0</v>
      </c>
      <c r="B285" s="6" t="s">
        <v>1980</v>
      </c>
      <c r="C285" s="7">
        <v>1400</v>
      </c>
      <c r="D285" s="8" t="s">
        <v>1981</v>
      </c>
      <c r="E285" s="8" t="s">
        <v>1982</v>
      </c>
      <c r="F285" s="8" t="s">
        <v>1983</v>
      </c>
      <c r="G285" s="6" t="s">
        <v>37</v>
      </c>
      <c r="H285" s="6" t="s">
        <v>38</v>
      </c>
      <c r="I285" s="8" t="s">
        <v>83</v>
      </c>
      <c r="J285" s="9">
        <v>1</v>
      </c>
      <c r="K285" s="9">
        <v>310</v>
      </c>
      <c r="L285" s="9">
        <v>2023</v>
      </c>
      <c r="M285" s="8" t="s">
        <v>1984</v>
      </c>
      <c r="N285" s="8" t="s">
        <v>41</v>
      </c>
      <c r="O285" s="8" t="s">
        <v>42</v>
      </c>
      <c r="P285" s="6" t="s">
        <v>85</v>
      </c>
      <c r="Q285" s="8" t="s">
        <v>86</v>
      </c>
      <c r="R285" s="10" t="s">
        <v>1985</v>
      </c>
      <c r="S285" s="11" t="s">
        <v>1986</v>
      </c>
      <c r="T285" s="6" t="s">
        <v>89</v>
      </c>
      <c r="U285" s="28" t="str">
        <f>HYPERLINK("https://media.infra-m.ru/1913/1913251/cover/1913251.jpg", "Обложка")</f>
        <v>Обложка</v>
      </c>
      <c r="V285" s="28" t="str">
        <f>HYPERLINK("https://znanium.com/catalog/product/1913251", "Ознакомиться")</f>
        <v>Ознакомиться</v>
      </c>
      <c r="W285" s="8" t="s">
        <v>1987</v>
      </c>
      <c r="X285" s="6"/>
      <c r="Y285" s="6"/>
      <c r="Z285" s="6"/>
      <c r="AA285" s="6" t="s">
        <v>530</v>
      </c>
    </row>
    <row r="286" spans="1:27" s="4" customFormat="1" ht="51.95" customHeight="1">
      <c r="A286" s="5">
        <v>0</v>
      </c>
      <c r="B286" s="6" t="s">
        <v>1988</v>
      </c>
      <c r="C286" s="13">
        <v>980</v>
      </c>
      <c r="D286" s="8" t="s">
        <v>1989</v>
      </c>
      <c r="E286" s="8" t="s">
        <v>1990</v>
      </c>
      <c r="F286" s="8" t="s">
        <v>1975</v>
      </c>
      <c r="G286" s="6" t="s">
        <v>37</v>
      </c>
      <c r="H286" s="6" t="s">
        <v>38</v>
      </c>
      <c r="I286" s="8" t="s">
        <v>62</v>
      </c>
      <c r="J286" s="9">
        <v>1</v>
      </c>
      <c r="K286" s="9">
        <v>210</v>
      </c>
      <c r="L286" s="9">
        <v>2023</v>
      </c>
      <c r="M286" s="8" t="s">
        <v>1991</v>
      </c>
      <c r="N286" s="8" t="s">
        <v>41</v>
      </c>
      <c r="O286" s="8" t="s">
        <v>42</v>
      </c>
      <c r="P286" s="6" t="s">
        <v>85</v>
      </c>
      <c r="Q286" s="8" t="s">
        <v>66</v>
      </c>
      <c r="R286" s="10" t="s">
        <v>1309</v>
      </c>
      <c r="S286" s="11" t="s">
        <v>1992</v>
      </c>
      <c r="T286" s="6"/>
      <c r="U286" s="28" t="str">
        <f>HYPERLINK("https://media.infra-m.ru/2000/2000880/cover/2000880.jpg", "Обложка")</f>
        <v>Обложка</v>
      </c>
      <c r="V286" s="28" t="str">
        <f>HYPERLINK("https://znanium.com/catalog/product/2000880", "Ознакомиться")</f>
        <v>Ознакомиться</v>
      </c>
      <c r="W286" s="8" t="s">
        <v>1979</v>
      </c>
      <c r="X286" s="6"/>
      <c r="Y286" s="6"/>
      <c r="Z286" s="6"/>
      <c r="AA286" s="6" t="s">
        <v>193</v>
      </c>
    </row>
    <row r="287" spans="1:27" s="4" customFormat="1" ht="42" customHeight="1">
      <c r="A287" s="5">
        <v>0</v>
      </c>
      <c r="B287" s="6" t="s">
        <v>1993</v>
      </c>
      <c r="C287" s="13">
        <v>984.9</v>
      </c>
      <c r="D287" s="8" t="s">
        <v>1994</v>
      </c>
      <c r="E287" s="8" t="s">
        <v>1995</v>
      </c>
      <c r="F287" s="8" t="s">
        <v>967</v>
      </c>
      <c r="G287" s="6" t="s">
        <v>37</v>
      </c>
      <c r="H287" s="6" t="s">
        <v>38</v>
      </c>
      <c r="I287" s="8" t="s">
        <v>39</v>
      </c>
      <c r="J287" s="9">
        <v>1</v>
      </c>
      <c r="K287" s="9">
        <v>218</v>
      </c>
      <c r="L287" s="9">
        <v>2023</v>
      </c>
      <c r="M287" s="8" t="s">
        <v>1996</v>
      </c>
      <c r="N287" s="8" t="s">
        <v>41</v>
      </c>
      <c r="O287" s="8" t="s">
        <v>64</v>
      </c>
      <c r="P287" s="6" t="s">
        <v>43</v>
      </c>
      <c r="Q287" s="8" t="s">
        <v>44</v>
      </c>
      <c r="R287" s="10" t="s">
        <v>848</v>
      </c>
      <c r="S287" s="11"/>
      <c r="T287" s="6"/>
      <c r="U287" s="28" t="str">
        <f>HYPERLINK("https://media.infra-m.ru/1913/1913017/cover/1913017.jpg", "Обложка")</f>
        <v>Обложка</v>
      </c>
      <c r="V287" s="28" t="str">
        <f>HYPERLINK("https://znanium.com/catalog/product/1082906", "Ознакомиться")</f>
        <v>Ознакомиться</v>
      </c>
      <c r="W287" s="8" t="s">
        <v>969</v>
      </c>
      <c r="X287" s="6"/>
      <c r="Y287" s="6"/>
      <c r="Z287" s="6"/>
      <c r="AA287" s="6" t="s">
        <v>70</v>
      </c>
    </row>
    <row r="288" spans="1:27" s="4" customFormat="1" ht="51.95" customHeight="1">
      <c r="A288" s="5">
        <v>0</v>
      </c>
      <c r="B288" s="6" t="s">
        <v>1997</v>
      </c>
      <c r="C288" s="13">
        <v>590</v>
      </c>
      <c r="D288" s="8" t="s">
        <v>1998</v>
      </c>
      <c r="E288" s="8" t="s">
        <v>1999</v>
      </c>
      <c r="F288" s="8" t="s">
        <v>2000</v>
      </c>
      <c r="G288" s="6" t="s">
        <v>121</v>
      </c>
      <c r="H288" s="6" t="s">
        <v>38</v>
      </c>
      <c r="I288" s="8" t="s">
        <v>83</v>
      </c>
      <c r="J288" s="9">
        <v>1</v>
      </c>
      <c r="K288" s="9">
        <v>162</v>
      </c>
      <c r="L288" s="9">
        <v>2017</v>
      </c>
      <c r="M288" s="8" t="s">
        <v>2001</v>
      </c>
      <c r="N288" s="8" t="s">
        <v>41</v>
      </c>
      <c r="O288" s="8" t="s">
        <v>42</v>
      </c>
      <c r="P288" s="6" t="s">
        <v>65</v>
      </c>
      <c r="Q288" s="8" t="s">
        <v>86</v>
      </c>
      <c r="R288" s="10" t="s">
        <v>2002</v>
      </c>
      <c r="S288" s="11" t="s">
        <v>2003</v>
      </c>
      <c r="T288" s="6" t="s">
        <v>89</v>
      </c>
      <c r="U288" s="28" t="str">
        <f>HYPERLINK("https://media.infra-m.ru/0900/0900848/cover/900848.jpg", "Обложка")</f>
        <v>Обложка</v>
      </c>
      <c r="V288" s="28" t="str">
        <f>HYPERLINK("https://znanium.com/catalog/product/1940908", "Ознакомиться")</f>
        <v>Ознакомиться</v>
      </c>
      <c r="W288" s="8" t="s">
        <v>2004</v>
      </c>
      <c r="X288" s="6"/>
      <c r="Y288" s="6"/>
      <c r="Z288" s="6"/>
      <c r="AA288" s="6" t="s">
        <v>320</v>
      </c>
    </row>
    <row r="289" spans="1:27" s="4" customFormat="1" ht="51.95" customHeight="1">
      <c r="A289" s="5">
        <v>0</v>
      </c>
      <c r="B289" s="6" t="s">
        <v>2005</v>
      </c>
      <c r="C289" s="13">
        <v>740</v>
      </c>
      <c r="D289" s="8" t="s">
        <v>2006</v>
      </c>
      <c r="E289" s="8" t="s">
        <v>2007</v>
      </c>
      <c r="F289" s="8" t="s">
        <v>2000</v>
      </c>
      <c r="G289" s="6" t="s">
        <v>37</v>
      </c>
      <c r="H289" s="6" t="s">
        <v>38</v>
      </c>
      <c r="I289" s="8" t="s">
        <v>83</v>
      </c>
      <c r="J289" s="9">
        <v>1</v>
      </c>
      <c r="K289" s="9">
        <v>162</v>
      </c>
      <c r="L289" s="9">
        <v>2023</v>
      </c>
      <c r="M289" s="8" t="s">
        <v>2001</v>
      </c>
      <c r="N289" s="8" t="s">
        <v>41</v>
      </c>
      <c r="O289" s="8" t="s">
        <v>42</v>
      </c>
      <c r="P289" s="6" t="s">
        <v>65</v>
      </c>
      <c r="Q289" s="8" t="s">
        <v>86</v>
      </c>
      <c r="R289" s="10" t="s">
        <v>2002</v>
      </c>
      <c r="S289" s="11" t="s">
        <v>2008</v>
      </c>
      <c r="T289" s="6" t="s">
        <v>89</v>
      </c>
      <c r="U289" s="28" t="str">
        <f>HYPERLINK("https://media.infra-m.ru/1940/1940908/cover/1940908.jpg", "Обложка")</f>
        <v>Обложка</v>
      </c>
      <c r="V289" s="28" t="str">
        <f>HYPERLINK("https://znanium.com/catalog/product/1940908", "Ознакомиться")</f>
        <v>Ознакомиться</v>
      </c>
      <c r="W289" s="8" t="s">
        <v>2004</v>
      </c>
      <c r="X289" s="6"/>
      <c r="Y289" s="6"/>
      <c r="Z289" s="6"/>
      <c r="AA289" s="6" t="s">
        <v>401</v>
      </c>
    </row>
    <row r="290" spans="1:27" s="4" customFormat="1" ht="51.95" customHeight="1">
      <c r="A290" s="5">
        <v>0</v>
      </c>
      <c r="B290" s="6" t="s">
        <v>2009</v>
      </c>
      <c r="C290" s="7">
        <v>1140</v>
      </c>
      <c r="D290" s="8" t="s">
        <v>2010</v>
      </c>
      <c r="E290" s="8" t="s">
        <v>2011</v>
      </c>
      <c r="F290" s="8" t="s">
        <v>2012</v>
      </c>
      <c r="G290" s="6" t="s">
        <v>37</v>
      </c>
      <c r="H290" s="6" t="s">
        <v>38</v>
      </c>
      <c r="I290" s="8" t="s">
        <v>130</v>
      </c>
      <c r="J290" s="9">
        <v>1</v>
      </c>
      <c r="K290" s="9">
        <v>246</v>
      </c>
      <c r="L290" s="9">
        <v>2023</v>
      </c>
      <c r="M290" s="8" t="s">
        <v>2013</v>
      </c>
      <c r="N290" s="8" t="s">
        <v>41</v>
      </c>
      <c r="O290" s="8" t="s">
        <v>64</v>
      </c>
      <c r="P290" s="6" t="s">
        <v>65</v>
      </c>
      <c r="Q290" s="8" t="s">
        <v>132</v>
      </c>
      <c r="R290" s="10" t="s">
        <v>2014</v>
      </c>
      <c r="S290" s="11" t="s">
        <v>2015</v>
      </c>
      <c r="T290" s="6"/>
      <c r="U290" s="28" t="str">
        <f>HYPERLINK("https://media.infra-m.ru/1995/1995338/cover/1995338.jpg", "Обложка")</f>
        <v>Обложка</v>
      </c>
      <c r="V290" s="28" t="str">
        <f>HYPERLINK("https://znanium.com/catalog/product/1995338", "Ознакомиться")</f>
        <v>Ознакомиться</v>
      </c>
      <c r="W290" s="8" t="s">
        <v>2016</v>
      </c>
      <c r="X290" s="6"/>
      <c r="Y290" s="6"/>
      <c r="Z290" s="6"/>
      <c r="AA290" s="6" t="s">
        <v>78</v>
      </c>
    </row>
    <row r="291" spans="1:27" s="4" customFormat="1" ht="51.95" customHeight="1">
      <c r="A291" s="5">
        <v>0</v>
      </c>
      <c r="B291" s="6" t="s">
        <v>2017</v>
      </c>
      <c r="C291" s="13">
        <v>520</v>
      </c>
      <c r="D291" s="8" t="s">
        <v>2018</v>
      </c>
      <c r="E291" s="8" t="s">
        <v>2019</v>
      </c>
      <c r="F291" s="8" t="s">
        <v>2020</v>
      </c>
      <c r="G291" s="6" t="s">
        <v>52</v>
      </c>
      <c r="H291" s="6" t="s">
        <v>38</v>
      </c>
      <c r="I291" s="8" t="s">
        <v>62</v>
      </c>
      <c r="J291" s="9">
        <v>1</v>
      </c>
      <c r="K291" s="9">
        <v>112</v>
      </c>
      <c r="L291" s="9">
        <v>2023</v>
      </c>
      <c r="M291" s="8" t="s">
        <v>2021</v>
      </c>
      <c r="N291" s="8" t="s">
        <v>41</v>
      </c>
      <c r="O291" s="8" t="s">
        <v>64</v>
      </c>
      <c r="P291" s="6" t="s">
        <v>65</v>
      </c>
      <c r="Q291" s="8" t="s">
        <v>66</v>
      </c>
      <c r="R291" s="10" t="s">
        <v>2022</v>
      </c>
      <c r="S291" s="11" t="s">
        <v>2023</v>
      </c>
      <c r="T291" s="6"/>
      <c r="U291" s="28" t="str">
        <f>HYPERLINK("https://media.infra-m.ru/1893/1893973/cover/1893973.jpg", "Обложка")</f>
        <v>Обложка</v>
      </c>
      <c r="V291" s="28" t="str">
        <f>HYPERLINK("https://znanium.com/catalog/product/1893973", "Ознакомиться")</f>
        <v>Ознакомиться</v>
      </c>
      <c r="W291" s="8" t="s">
        <v>2024</v>
      </c>
      <c r="X291" s="6"/>
      <c r="Y291" s="6"/>
      <c r="Z291" s="6"/>
      <c r="AA291" s="6" t="s">
        <v>70</v>
      </c>
    </row>
    <row r="292" spans="1:27" s="4" customFormat="1" ht="51.95" customHeight="1">
      <c r="A292" s="5">
        <v>0</v>
      </c>
      <c r="B292" s="6" t="s">
        <v>2025</v>
      </c>
      <c r="C292" s="13">
        <v>680</v>
      </c>
      <c r="D292" s="8" t="s">
        <v>2026</v>
      </c>
      <c r="E292" s="8" t="s">
        <v>2027</v>
      </c>
      <c r="F292" s="8" t="s">
        <v>2028</v>
      </c>
      <c r="G292" s="6" t="s">
        <v>37</v>
      </c>
      <c r="H292" s="6" t="s">
        <v>38</v>
      </c>
      <c r="I292" s="8" t="s">
        <v>2029</v>
      </c>
      <c r="J292" s="9">
        <v>1</v>
      </c>
      <c r="K292" s="9">
        <v>149</v>
      </c>
      <c r="L292" s="9">
        <v>2023</v>
      </c>
      <c r="M292" s="8" t="s">
        <v>2030</v>
      </c>
      <c r="N292" s="8" t="s">
        <v>41</v>
      </c>
      <c r="O292" s="8" t="s">
        <v>54</v>
      </c>
      <c r="P292" s="6" t="s">
        <v>65</v>
      </c>
      <c r="Q292" s="8" t="s">
        <v>66</v>
      </c>
      <c r="R292" s="10" t="s">
        <v>2031</v>
      </c>
      <c r="S292" s="11" t="s">
        <v>2032</v>
      </c>
      <c r="T292" s="6"/>
      <c r="U292" s="28" t="str">
        <f>HYPERLINK("https://media.infra-m.ru/2000/2000033/cover/2000033.jpg", "Обложка")</f>
        <v>Обложка</v>
      </c>
      <c r="V292" s="12"/>
      <c r="W292" s="8" t="s">
        <v>463</v>
      </c>
      <c r="X292" s="6"/>
      <c r="Y292" s="6"/>
      <c r="Z292" s="6"/>
      <c r="AA292" s="6" t="s">
        <v>91</v>
      </c>
    </row>
    <row r="293" spans="1:27" s="4" customFormat="1" ht="42" customHeight="1">
      <c r="A293" s="5">
        <v>0</v>
      </c>
      <c r="B293" s="6" t="s">
        <v>2033</v>
      </c>
      <c r="C293" s="7">
        <v>1094.9000000000001</v>
      </c>
      <c r="D293" s="8" t="s">
        <v>2034</v>
      </c>
      <c r="E293" s="8" t="s">
        <v>2035</v>
      </c>
      <c r="F293" s="8" t="s">
        <v>2036</v>
      </c>
      <c r="G293" s="6" t="s">
        <v>121</v>
      </c>
      <c r="H293" s="6" t="s">
        <v>2037</v>
      </c>
      <c r="I293" s="8" t="s">
        <v>2038</v>
      </c>
      <c r="J293" s="9">
        <v>1</v>
      </c>
      <c r="K293" s="9">
        <v>244</v>
      </c>
      <c r="L293" s="9">
        <v>2023</v>
      </c>
      <c r="M293" s="8" t="s">
        <v>2039</v>
      </c>
      <c r="N293" s="8" t="s">
        <v>41</v>
      </c>
      <c r="O293" s="8" t="s">
        <v>64</v>
      </c>
      <c r="P293" s="6" t="s">
        <v>85</v>
      </c>
      <c r="Q293" s="8" t="s">
        <v>86</v>
      </c>
      <c r="R293" s="10" t="s">
        <v>1599</v>
      </c>
      <c r="S293" s="11"/>
      <c r="T293" s="6" t="s">
        <v>89</v>
      </c>
      <c r="U293" s="28" t="str">
        <f>HYPERLINK("https://media.infra-m.ru/1915/1915957/cover/1915957.jpg", "Обложка")</f>
        <v>Обложка</v>
      </c>
      <c r="V293" s="28" t="str">
        <f>HYPERLINK("https://znanium.com/catalog/product/2124358", "Ознакомиться")</f>
        <v>Ознакомиться</v>
      </c>
      <c r="W293" s="8" t="s">
        <v>814</v>
      </c>
      <c r="X293" s="6"/>
      <c r="Y293" s="6"/>
      <c r="Z293" s="6"/>
      <c r="AA293" s="6" t="s">
        <v>70</v>
      </c>
    </row>
    <row r="294" spans="1:27" s="4" customFormat="1" ht="51.95" customHeight="1">
      <c r="A294" s="5">
        <v>0</v>
      </c>
      <c r="B294" s="6" t="s">
        <v>2040</v>
      </c>
      <c r="C294" s="13">
        <v>870</v>
      </c>
      <c r="D294" s="8" t="s">
        <v>2041</v>
      </c>
      <c r="E294" s="8" t="s">
        <v>2042</v>
      </c>
      <c r="F294" s="8" t="s">
        <v>2043</v>
      </c>
      <c r="G294" s="6" t="s">
        <v>52</v>
      </c>
      <c r="H294" s="6" t="s">
        <v>38</v>
      </c>
      <c r="I294" s="8" t="s">
        <v>2044</v>
      </c>
      <c r="J294" s="9">
        <v>1</v>
      </c>
      <c r="K294" s="9">
        <v>194</v>
      </c>
      <c r="L294" s="9">
        <v>2022</v>
      </c>
      <c r="M294" s="8" t="s">
        <v>2045</v>
      </c>
      <c r="N294" s="8" t="s">
        <v>41</v>
      </c>
      <c r="O294" s="8" t="s">
        <v>97</v>
      </c>
      <c r="P294" s="6" t="s">
        <v>65</v>
      </c>
      <c r="Q294" s="8" t="s">
        <v>66</v>
      </c>
      <c r="R294" s="10" t="s">
        <v>2046</v>
      </c>
      <c r="S294" s="11" t="s">
        <v>2047</v>
      </c>
      <c r="T294" s="6"/>
      <c r="U294" s="28" t="str">
        <f>HYPERLINK("https://media.infra-m.ru/1947/1947390/cover/1947390.jpg", "Обложка")</f>
        <v>Обложка</v>
      </c>
      <c r="V294" s="28" t="str">
        <f>HYPERLINK("https://znanium.com/catalog/product/1852225", "Ознакомиться")</f>
        <v>Ознакомиться</v>
      </c>
      <c r="W294" s="8" t="s">
        <v>143</v>
      </c>
      <c r="X294" s="6"/>
      <c r="Y294" s="6"/>
      <c r="Z294" s="6"/>
      <c r="AA294" s="6" t="s">
        <v>70</v>
      </c>
    </row>
    <row r="295" spans="1:27" s="4" customFormat="1" ht="51.95" customHeight="1">
      <c r="A295" s="5">
        <v>0</v>
      </c>
      <c r="B295" s="6" t="s">
        <v>2048</v>
      </c>
      <c r="C295" s="7">
        <v>1250</v>
      </c>
      <c r="D295" s="8" t="s">
        <v>2049</v>
      </c>
      <c r="E295" s="8" t="s">
        <v>2050</v>
      </c>
      <c r="F295" s="8" t="s">
        <v>2051</v>
      </c>
      <c r="G295" s="6" t="s">
        <v>37</v>
      </c>
      <c r="H295" s="6" t="s">
        <v>122</v>
      </c>
      <c r="I295" s="8" t="s">
        <v>62</v>
      </c>
      <c r="J295" s="9">
        <v>1</v>
      </c>
      <c r="K295" s="9">
        <v>270</v>
      </c>
      <c r="L295" s="9">
        <v>2023</v>
      </c>
      <c r="M295" s="8" t="s">
        <v>2052</v>
      </c>
      <c r="N295" s="8" t="s">
        <v>41</v>
      </c>
      <c r="O295" s="8" t="s">
        <v>54</v>
      </c>
      <c r="P295" s="6" t="s">
        <v>65</v>
      </c>
      <c r="Q295" s="8" t="s">
        <v>66</v>
      </c>
      <c r="R295" s="10" t="s">
        <v>2053</v>
      </c>
      <c r="S295" s="11" t="s">
        <v>2054</v>
      </c>
      <c r="T295" s="6"/>
      <c r="U295" s="28" t="str">
        <f>HYPERLINK("https://media.infra-m.ru/1930/1930702/cover/1930702.jpg", "Обложка")</f>
        <v>Обложка</v>
      </c>
      <c r="V295" s="28" t="str">
        <f>HYPERLINK("https://znanium.com/catalog/product/1930702", "Ознакомиться")</f>
        <v>Ознакомиться</v>
      </c>
      <c r="W295" s="8" t="s">
        <v>620</v>
      </c>
      <c r="X295" s="6"/>
      <c r="Y295" s="6"/>
      <c r="Z295" s="6"/>
      <c r="AA295" s="6" t="s">
        <v>47</v>
      </c>
    </row>
    <row r="296" spans="1:27" s="4" customFormat="1" ht="51.95" customHeight="1">
      <c r="A296" s="5">
        <v>0</v>
      </c>
      <c r="B296" s="6" t="s">
        <v>2055</v>
      </c>
      <c r="C296" s="13">
        <v>890</v>
      </c>
      <c r="D296" s="8" t="s">
        <v>2056</v>
      </c>
      <c r="E296" s="8" t="s">
        <v>2057</v>
      </c>
      <c r="F296" s="8" t="s">
        <v>235</v>
      </c>
      <c r="G296" s="6" t="s">
        <v>52</v>
      </c>
      <c r="H296" s="6" t="s">
        <v>38</v>
      </c>
      <c r="I296" s="8" t="s">
        <v>39</v>
      </c>
      <c r="J296" s="9">
        <v>1</v>
      </c>
      <c r="K296" s="9">
        <v>176</v>
      </c>
      <c r="L296" s="9">
        <v>2023</v>
      </c>
      <c r="M296" s="8" t="s">
        <v>2058</v>
      </c>
      <c r="N296" s="8" t="s">
        <v>41</v>
      </c>
      <c r="O296" s="8" t="s">
        <v>54</v>
      </c>
      <c r="P296" s="6" t="s">
        <v>43</v>
      </c>
      <c r="Q296" s="8" t="s">
        <v>44</v>
      </c>
      <c r="R296" s="10" t="s">
        <v>2059</v>
      </c>
      <c r="S296" s="11"/>
      <c r="T296" s="6"/>
      <c r="U296" s="28" t="str">
        <f>HYPERLINK("https://media.infra-m.ru/1959/1959258/cover/1959258.jpg", "Обложка")</f>
        <v>Обложка</v>
      </c>
      <c r="V296" s="28" t="str">
        <f>HYPERLINK("https://znanium.com/catalog/product/1959258", "Ознакомиться")</f>
        <v>Ознакомиться</v>
      </c>
      <c r="W296" s="8" t="s">
        <v>238</v>
      </c>
      <c r="X296" s="6"/>
      <c r="Y296" s="6"/>
      <c r="Z296" s="6"/>
      <c r="AA296" s="6" t="s">
        <v>108</v>
      </c>
    </row>
    <row r="297" spans="1:27" s="4" customFormat="1" ht="51.95" customHeight="1">
      <c r="A297" s="5">
        <v>0</v>
      </c>
      <c r="B297" s="6" t="s">
        <v>2060</v>
      </c>
      <c r="C297" s="7">
        <v>2034.9</v>
      </c>
      <c r="D297" s="8" t="s">
        <v>2061</v>
      </c>
      <c r="E297" s="8" t="s">
        <v>2062</v>
      </c>
      <c r="F297" s="8" t="s">
        <v>2063</v>
      </c>
      <c r="G297" s="6" t="s">
        <v>37</v>
      </c>
      <c r="H297" s="6" t="s">
        <v>38</v>
      </c>
      <c r="I297" s="8" t="s">
        <v>62</v>
      </c>
      <c r="J297" s="9">
        <v>1</v>
      </c>
      <c r="K297" s="9">
        <v>474</v>
      </c>
      <c r="L297" s="9">
        <v>2023</v>
      </c>
      <c r="M297" s="8" t="s">
        <v>2064</v>
      </c>
      <c r="N297" s="8" t="s">
        <v>41</v>
      </c>
      <c r="O297" s="8" t="s">
        <v>64</v>
      </c>
      <c r="P297" s="6" t="s">
        <v>85</v>
      </c>
      <c r="Q297" s="8" t="s">
        <v>66</v>
      </c>
      <c r="R297" s="10" t="s">
        <v>2065</v>
      </c>
      <c r="S297" s="11" t="s">
        <v>2066</v>
      </c>
      <c r="T297" s="6" t="s">
        <v>89</v>
      </c>
      <c r="U297" s="28" t="str">
        <f>HYPERLINK("https://media.infra-m.ru/1940/1940013/cover/1940013.jpg", "Обложка")</f>
        <v>Обложка</v>
      </c>
      <c r="V297" s="28" t="str">
        <f>HYPERLINK("https://znanium.com/catalog/product/1915774", "Ознакомиться")</f>
        <v>Ознакомиться</v>
      </c>
      <c r="W297" s="8" t="s">
        <v>2067</v>
      </c>
      <c r="X297" s="6"/>
      <c r="Y297" s="6"/>
      <c r="Z297" s="6"/>
      <c r="AA297" s="6" t="s">
        <v>193</v>
      </c>
    </row>
    <row r="298" spans="1:27" s="4" customFormat="1" ht="51.95" customHeight="1">
      <c r="A298" s="5">
        <v>0</v>
      </c>
      <c r="B298" s="6" t="s">
        <v>2068</v>
      </c>
      <c r="C298" s="7">
        <v>2597</v>
      </c>
      <c r="D298" s="8" t="s">
        <v>2069</v>
      </c>
      <c r="E298" s="8" t="s">
        <v>2070</v>
      </c>
      <c r="F298" s="8" t="s">
        <v>2071</v>
      </c>
      <c r="G298" s="6" t="s">
        <v>121</v>
      </c>
      <c r="H298" s="6" t="s">
        <v>679</v>
      </c>
      <c r="I298" s="8" t="s">
        <v>680</v>
      </c>
      <c r="J298" s="9">
        <v>1</v>
      </c>
      <c r="K298" s="9">
        <v>512</v>
      </c>
      <c r="L298" s="9">
        <v>2023</v>
      </c>
      <c r="M298" s="8" t="s">
        <v>2072</v>
      </c>
      <c r="N298" s="8" t="s">
        <v>41</v>
      </c>
      <c r="O298" s="8" t="s">
        <v>54</v>
      </c>
      <c r="P298" s="6" t="s">
        <v>85</v>
      </c>
      <c r="Q298" s="8" t="s">
        <v>66</v>
      </c>
      <c r="R298" s="10" t="s">
        <v>2073</v>
      </c>
      <c r="S298" s="11" t="s">
        <v>2074</v>
      </c>
      <c r="T298" s="6"/>
      <c r="U298" s="28" t="str">
        <f>HYPERLINK("https://media.infra-m.ru/2085/2085110/cover/2085110.jpg", "Обложка")</f>
        <v>Обложка</v>
      </c>
      <c r="V298" s="28" t="str">
        <f>HYPERLINK("https://znanium.com/catalog/product/1840468", "Ознакомиться")</f>
        <v>Ознакомиться</v>
      </c>
      <c r="W298" s="8" t="s">
        <v>2075</v>
      </c>
      <c r="X298" s="6"/>
      <c r="Y298" s="6"/>
      <c r="Z298" s="6"/>
      <c r="AA298" s="6" t="s">
        <v>559</v>
      </c>
    </row>
    <row r="299" spans="1:27" s="4" customFormat="1" ht="42" customHeight="1">
      <c r="A299" s="5">
        <v>0</v>
      </c>
      <c r="B299" s="6" t="s">
        <v>2076</v>
      </c>
      <c r="C299" s="7">
        <v>1584.9</v>
      </c>
      <c r="D299" s="8" t="s">
        <v>2077</v>
      </c>
      <c r="E299" s="8" t="s">
        <v>2078</v>
      </c>
      <c r="F299" s="8" t="s">
        <v>2079</v>
      </c>
      <c r="G299" s="6" t="s">
        <v>121</v>
      </c>
      <c r="H299" s="6" t="s">
        <v>38</v>
      </c>
      <c r="I299" s="8" t="s">
        <v>39</v>
      </c>
      <c r="J299" s="9">
        <v>1</v>
      </c>
      <c r="K299" s="9">
        <v>352</v>
      </c>
      <c r="L299" s="9">
        <v>2023</v>
      </c>
      <c r="M299" s="8" t="s">
        <v>2080</v>
      </c>
      <c r="N299" s="8" t="s">
        <v>41</v>
      </c>
      <c r="O299" s="8" t="s">
        <v>54</v>
      </c>
      <c r="P299" s="6" t="s">
        <v>43</v>
      </c>
      <c r="Q299" s="8" t="s">
        <v>44</v>
      </c>
      <c r="R299" s="10" t="s">
        <v>2081</v>
      </c>
      <c r="S299" s="11"/>
      <c r="T299" s="6"/>
      <c r="U299" s="28" t="str">
        <f>HYPERLINK("https://media.infra-m.ru/1913/1913699/cover/1913699.jpg", "Обложка")</f>
        <v>Обложка</v>
      </c>
      <c r="V299" s="28" t="str">
        <f>HYPERLINK("https://znanium.com/catalog/product/938060", "Ознакомиться")</f>
        <v>Ознакомиться</v>
      </c>
      <c r="W299" s="8" t="s">
        <v>620</v>
      </c>
      <c r="X299" s="6"/>
      <c r="Y299" s="6"/>
      <c r="Z299" s="6"/>
      <c r="AA299" s="6" t="s">
        <v>57</v>
      </c>
    </row>
    <row r="300" spans="1:27" s="4" customFormat="1" ht="51.95" customHeight="1">
      <c r="A300" s="5">
        <v>0</v>
      </c>
      <c r="B300" s="6" t="s">
        <v>2082</v>
      </c>
      <c r="C300" s="7">
        <v>1584</v>
      </c>
      <c r="D300" s="8" t="s">
        <v>2083</v>
      </c>
      <c r="E300" s="8" t="s">
        <v>2084</v>
      </c>
      <c r="F300" s="8" t="s">
        <v>2085</v>
      </c>
      <c r="G300" s="6" t="s">
        <v>121</v>
      </c>
      <c r="H300" s="6" t="s">
        <v>317</v>
      </c>
      <c r="I300" s="8"/>
      <c r="J300" s="9">
        <v>1</v>
      </c>
      <c r="K300" s="9">
        <v>352</v>
      </c>
      <c r="L300" s="9">
        <v>2023</v>
      </c>
      <c r="M300" s="8" t="s">
        <v>2086</v>
      </c>
      <c r="N300" s="8" t="s">
        <v>41</v>
      </c>
      <c r="O300" s="8" t="s">
        <v>64</v>
      </c>
      <c r="P300" s="6" t="s">
        <v>65</v>
      </c>
      <c r="Q300" s="8" t="s">
        <v>66</v>
      </c>
      <c r="R300" s="10" t="s">
        <v>2087</v>
      </c>
      <c r="S300" s="11" t="s">
        <v>2088</v>
      </c>
      <c r="T300" s="6"/>
      <c r="U300" s="28" t="str">
        <f>HYPERLINK("https://media.infra-m.ru/1981/1981620/cover/1981620.jpg", "Обложка")</f>
        <v>Обложка</v>
      </c>
      <c r="V300" s="28" t="str">
        <f>HYPERLINK("https://znanium.com/catalog/product/961823", "Ознакомиться")</f>
        <v>Ознакомиться</v>
      </c>
      <c r="W300" s="8"/>
      <c r="X300" s="6"/>
      <c r="Y300" s="6"/>
      <c r="Z300" s="6"/>
      <c r="AA300" s="6" t="s">
        <v>100</v>
      </c>
    </row>
    <row r="301" spans="1:27" s="4" customFormat="1" ht="51.95" customHeight="1">
      <c r="A301" s="5">
        <v>0</v>
      </c>
      <c r="B301" s="6" t="s">
        <v>2089</v>
      </c>
      <c r="C301" s="7">
        <v>1564</v>
      </c>
      <c r="D301" s="8" t="s">
        <v>2090</v>
      </c>
      <c r="E301" s="8" t="s">
        <v>2091</v>
      </c>
      <c r="F301" s="8" t="s">
        <v>2092</v>
      </c>
      <c r="G301" s="6" t="s">
        <v>37</v>
      </c>
      <c r="H301" s="6" t="s">
        <v>38</v>
      </c>
      <c r="I301" s="8" t="s">
        <v>2029</v>
      </c>
      <c r="J301" s="9">
        <v>1</v>
      </c>
      <c r="K301" s="9">
        <v>345</v>
      </c>
      <c r="L301" s="9">
        <v>2023</v>
      </c>
      <c r="M301" s="8" t="s">
        <v>2093</v>
      </c>
      <c r="N301" s="8" t="s">
        <v>41</v>
      </c>
      <c r="O301" s="8" t="s">
        <v>54</v>
      </c>
      <c r="P301" s="6" t="s">
        <v>65</v>
      </c>
      <c r="Q301" s="8" t="s">
        <v>66</v>
      </c>
      <c r="R301" s="10" t="s">
        <v>2094</v>
      </c>
      <c r="S301" s="11" t="s">
        <v>2095</v>
      </c>
      <c r="T301" s="6"/>
      <c r="U301" s="28" t="str">
        <f>HYPERLINK("https://media.infra-m.ru/1894/1894482/cover/1894482.jpg", "Обложка")</f>
        <v>Обложка</v>
      </c>
      <c r="V301" s="12"/>
      <c r="W301" s="8" t="s">
        <v>463</v>
      </c>
      <c r="X301" s="6"/>
      <c r="Y301" s="6"/>
      <c r="Z301" s="6"/>
      <c r="AA301" s="6" t="s">
        <v>91</v>
      </c>
    </row>
    <row r="302" spans="1:27" s="4" customFormat="1" ht="51.95" customHeight="1">
      <c r="A302" s="5">
        <v>0</v>
      </c>
      <c r="B302" s="6" t="s">
        <v>2096</v>
      </c>
      <c r="C302" s="7">
        <v>2294</v>
      </c>
      <c r="D302" s="8" t="s">
        <v>2097</v>
      </c>
      <c r="E302" s="8" t="s">
        <v>2091</v>
      </c>
      <c r="F302" s="8" t="s">
        <v>2098</v>
      </c>
      <c r="G302" s="6" t="s">
        <v>121</v>
      </c>
      <c r="H302" s="6" t="s">
        <v>122</v>
      </c>
      <c r="I302" s="8" t="s">
        <v>62</v>
      </c>
      <c r="J302" s="9">
        <v>1</v>
      </c>
      <c r="K302" s="9">
        <v>512</v>
      </c>
      <c r="L302" s="9">
        <v>2023</v>
      </c>
      <c r="M302" s="8" t="s">
        <v>2099</v>
      </c>
      <c r="N302" s="8" t="s">
        <v>41</v>
      </c>
      <c r="O302" s="8" t="s">
        <v>54</v>
      </c>
      <c r="P302" s="6" t="s">
        <v>65</v>
      </c>
      <c r="Q302" s="8" t="s">
        <v>66</v>
      </c>
      <c r="R302" s="10" t="s">
        <v>2100</v>
      </c>
      <c r="S302" s="11" t="s">
        <v>2101</v>
      </c>
      <c r="T302" s="6"/>
      <c r="U302" s="28" t="str">
        <f>HYPERLINK("https://media.infra-m.ru/1841/1841428/cover/1841428.jpg", "Обложка")</f>
        <v>Обложка</v>
      </c>
      <c r="V302" s="28" t="str">
        <f>HYPERLINK("https://znanium.com/catalog/product/1072292", "Ознакомиться")</f>
        <v>Ознакомиться</v>
      </c>
      <c r="W302" s="8" t="s">
        <v>301</v>
      </c>
      <c r="X302" s="6"/>
      <c r="Y302" s="6"/>
      <c r="Z302" s="6"/>
      <c r="AA302" s="6" t="s">
        <v>269</v>
      </c>
    </row>
    <row r="303" spans="1:27" s="4" customFormat="1" ht="51.95" customHeight="1">
      <c r="A303" s="5">
        <v>0</v>
      </c>
      <c r="B303" s="6" t="s">
        <v>2102</v>
      </c>
      <c r="C303" s="13">
        <v>944.9</v>
      </c>
      <c r="D303" s="8" t="s">
        <v>2103</v>
      </c>
      <c r="E303" s="8" t="s">
        <v>2104</v>
      </c>
      <c r="F303" s="8" t="s">
        <v>2105</v>
      </c>
      <c r="G303" s="6" t="s">
        <v>37</v>
      </c>
      <c r="H303" s="6" t="s">
        <v>38</v>
      </c>
      <c r="I303" s="8" t="s">
        <v>62</v>
      </c>
      <c r="J303" s="9">
        <v>1</v>
      </c>
      <c r="K303" s="9">
        <v>239</v>
      </c>
      <c r="L303" s="9">
        <v>2022</v>
      </c>
      <c r="M303" s="8" t="s">
        <v>2106</v>
      </c>
      <c r="N303" s="8" t="s">
        <v>41</v>
      </c>
      <c r="O303" s="8" t="s">
        <v>181</v>
      </c>
      <c r="P303" s="6" t="s">
        <v>65</v>
      </c>
      <c r="Q303" s="8" t="s">
        <v>66</v>
      </c>
      <c r="R303" s="10" t="s">
        <v>2107</v>
      </c>
      <c r="S303" s="11" t="s">
        <v>2108</v>
      </c>
      <c r="T303" s="6"/>
      <c r="U303" s="28" t="str">
        <f>HYPERLINK("https://media.infra-m.ru/1854/1854011/cover/1854011.jpg", "Обложка")</f>
        <v>Обложка</v>
      </c>
      <c r="V303" s="28" t="str">
        <f>HYPERLINK("https://znanium.com/catalog/product/1505323", "Ознакомиться")</f>
        <v>Ознакомиться</v>
      </c>
      <c r="W303" s="8" t="s">
        <v>2109</v>
      </c>
      <c r="X303" s="6"/>
      <c r="Y303" s="6"/>
      <c r="Z303" s="6"/>
      <c r="AA303" s="6" t="s">
        <v>108</v>
      </c>
    </row>
    <row r="304" spans="1:27" s="4" customFormat="1" ht="51.95" customHeight="1">
      <c r="A304" s="5">
        <v>0</v>
      </c>
      <c r="B304" s="6" t="s">
        <v>2110</v>
      </c>
      <c r="C304" s="13">
        <v>950</v>
      </c>
      <c r="D304" s="8" t="s">
        <v>2111</v>
      </c>
      <c r="E304" s="8" t="s">
        <v>2112</v>
      </c>
      <c r="F304" s="8" t="s">
        <v>2113</v>
      </c>
      <c r="G304" s="6" t="s">
        <v>37</v>
      </c>
      <c r="H304" s="6" t="s">
        <v>38</v>
      </c>
      <c r="I304" s="8" t="s">
        <v>187</v>
      </c>
      <c r="J304" s="9">
        <v>1</v>
      </c>
      <c r="K304" s="9">
        <v>263</v>
      </c>
      <c r="L304" s="9">
        <v>2021</v>
      </c>
      <c r="M304" s="8" t="s">
        <v>2114</v>
      </c>
      <c r="N304" s="8" t="s">
        <v>41</v>
      </c>
      <c r="O304" s="8" t="s">
        <v>181</v>
      </c>
      <c r="P304" s="6" t="s">
        <v>85</v>
      </c>
      <c r="Q304" s="8" t="s">
        <v>189</v>
      </c>
      <c r="R304" s="10" t="s">
        <v>2115</v>
      </c>
      <c r="S304" s="11" t="s">
        <v>2116</v>
      </c>
      <c r="T304" s="6" t="s">
        <v>89</v>
      </c>
      <c r="U304" s="28" t="str">
        <f>HYPERLINK("https://media.infra-m.ru/1242/1242534/cover/1242534.jpg", "Обложка")</f>
        <v>Обложка</v>
      </c>
      <c r="V304" s="28" t="str">
        <f>HYPERLINK("https://znanium.com/catalog/product/1150324", "Ознакомиться")</f>
        <v>Ознакомиться</v>
      </c>
      <c r="W304" s="8" t="s">
        <v>184</v>
      </c>
      <c r="X304" s="6"/>
      <c r="Y304" s="6"/>
      <c r="Z304" s="6" t="s">
        <v>887</v>
      </c>
      <c r="AA304" s="6" t="s">
        <v>135</v>
      </c>
    </row>
    <row r="305" spans="1:27" s="4" customFormat="1" ht="42" customHeight="1">
      <c r="A305" s="5">
        <v>0</v>
      </c>
      <c r="B305" s="6" t="s">
        <v>2117</v>
      </c>
      <c r="C305" s="7">
        <v>1220</v>
      </c>
      <c r="D305" s="8" t="s">
        <v>2118</v>
      </c>
      <c r="E305" s="8" t="s">
        <v>2112</v>
      </c>
      <c r="F305" s="8" t="s">
        <v>2113</v>
      </c>
      <c r="G305" s="6" t="s">
        <v>37</v>
      </c>
      <c r="H305" s="6" t="s">
        <v>38</v>
      </c>
      <c r="I305" s="8" t="s">
        <v>130</v>
      </c>
      <c r="J305" s="9">
        <v>1</v>
      </c>
      <c r="K305" s="9">
        <v>263</v>
      </c>
      <c r="L305" s="9">
        <v>2024</v>
      </c>
      <c r="M305" s="8" t="s">
        <v>2119</v>
      </c>
      <c r="N305" s="8" t="s">
        <v>41</v>
      </c>
      <c r="O305" s="8" t="s">
        <v>181</v>
      </c>
      <c r="P305" s="6" t="s">
        <v>85</v>
      </c>
      <c r="Q305" s="8" t="s">
        <v>132</v>
      </c>
      <c r="R305" s="10" t="s">
        <v>2120</v>
      </c>
      <c r="S305" s="11"/>
      <c r="T305" s="6" t="s">
        <v>89</v>
      </c>
      <c r="U305" s="28" t="str">
        <f>HYPERLINK("https://media.infra-m.ru/2079/2079284/cover/2079284.jpg", "Обложка")</f>
        <v>Обложка</v>
      </c>
      <c r="V305" s="28" t="str">
        <f>HYPERLINK("https://znanium.com/catalog/product/2079284", "Ознакомиться")</f>
        <v>Ознакомиться</v>
      </c>
      <c r="W305" s="8" t="s">
        <v>184</v>
      </c>
      <c r="X305" s="6"/>
      <c r="Y305" s="6"/>
      <c r="Z305" s="6"/>
      <c r="AA305" s="6" t="s">
        <v>193</v>
      </c>
    </row>
    <row r="306" spans="1:27" s="4" customFormat="1" ht="42" customHeight="1">
      <c r="A306" s="5">
        <v>0</v>
      </c>
      <c r="B306" s="6" t="s">
        <v>2121</v>
      </c>
      <c r="C306" s="7">
        <v>1190</v>
      </c>
      <c r="D306" s="8" t="s">
        <v>2122</v>
      </c>
      <c r="E306" s="8" t="s">
        <v>2112</v>
      </c>
      <c r="F306" s="8" t="s">
        <v>2123</v>
      </c>
      <c r="G306" s="6" t="s">
        <v>121</v>
      </c>
      <c r="H306" s="6" t="s">
        <v>38</v>
      </c>
      <c r="I306" s="8" t="s">
        <v>130</v>
      </c>
      <c r="J306" s="9">
        <v>1</v>
      </c>
      <c r="K306" s="9">
        <v>251</v>
      </c>
      <c r="L306" s="9">
        <v>2024</v>
      </c>
      <c r="M306" s="8" t="s">
        <v>2124</v>
      </c>
      <c r="N306" s="8" t="s">
        <v>41</v>
      </c>
      <c r="O306" s="8" t="s">
        <v>181</v>
      </c>
      <c r="P306" s="6" t="s">
        <v>85</v>
      </c>
      <c r="Q306" s="8" t="s">
        <v>66</v>
      </c>
      <c r="R306" s="10" t="s">
        <v>428</v>
      </c>
      <c r="S306" s="11"/>
      <c r="T306" s="6"/>
      <c r="U306" s="28" t="str">
        <f>HYPERLINK("https://media.infra-m.ru/1864/1864666/cover/1864666.jpg", "Обложка")</f>
        <v>Обложка</v>
      </c>
      <c r="V306" s="28" t="str">
        <f>HYPERLINK("https://znanium.com/catalog/product/1864666", "Ознакомиться")</f>
        <v>Ознакомиться</v>
      </c>
      <c r="W306" s="8" t="s">
        <v>2125</v>
      </c>
      <c r="X306" s="6" t="s">
        <v>1002</v>
      </c>
      <c r="Y306" s="6"/>
      <c r="Z306" s="6"/>
      <c r="AA306" s="6" t="s">
        <v>2126</v>
      </c>
    </row>
    <row r="307" spans="1:27" s="4" customFormat="1" ht="51.95" customHeight="1">
      <c r="A307" s="5">
        <v>0</v>
      </c>
      <c r="B307" s="6" t="s">
        <v>2127</v>
      </c>
      <c r="C307" s="7">
        <v>1290</v>
      </c>
      <c r="D307" s="8" t="s">
        <v>2128</v>
      </c>
      <c r="E307" s="8" t="s">
        <v>2112</v>
      </c>
      <c r="F307" s="8" t="s">
        <v>2129</v>
      </c>
      <c r="G307" s="6" t="s">
        <v>52</v>
      </c>
      <c r="H307" s="6" t="s">
        <v>38</v>
      </c>
      <c r="I307" s="8" t="s">
        <v>130</v>
      </c>
      <c r="J307" s="9">
        <v>1</v>
      </c>
      <c r="K307" s="9">
        <v>286</v>
      </c>
      <c r="L307" s="9">
        <v>2024</v>
      </c>
      <c r="M307" s="8" t="s">
        <v>2130</v>
      </c>
      <c r="N307" s="8" t="s">
        <v>41</v>
      </c>
      <c r="O307" s="8" t="s">
        <v>181</v>
      </c>
      <c r="P307" s="6" t="s">
        <v>85</v>
      </c>
      <c r="Q307" s="8" t="s">
        <v>66</v>
      </c>
      <c r="R307" s="10" t="s">
        <v>2131</v>
      </c>
      <c r="S307" s="11" t="s">
        <v>2132</v>
      </c>
      <c r="T307" s="6"/>
      <c r="U307" s="28" t="str">
        <f>HYPERLINK("https://media.infra-m.ru/2055/2055768/cover/2055768.jpg", "Обложка")</f>
        <v>Обложка</v>
      </c>
      <c r="V307" s="28" t="str">
        <f>HYPERLINK("https://znanium.com/catalog/product/2055768", "Ознакомиться")</f>
        <v>Ознакомиться</v>
      </c>
      <c r="W307" s="8" t="s">
        <v>90</v>
      </c>
      <c r="X307" s="6"/>
      <c r="Y307" s="6"/>
      <c r="Z307" s="6"/>
      <c r="AA307" s="6" t="s">
        <v>493</v>
      </c>
    </row>
    <row r="308" spans="1:27" s="4" customFormat="1" ht="51.95" customHeight="1">
      <c r="A308" s="5">
        <v>0</v>
      </c>
      <c r="B308" s="6" t="s">
        <v>2133</v>
      </c>
      <c r="C308" s="13">
        <v>880</v>
      </c>
      <c r="D308" s="8" t="s">
        <v>2134</v>
      </c>
      <c r="E308" s="8" t="s">
        <v>2135</v>
      </c>
      <c r="F308" s="8" t="s">
        <v>2136</v>
      </c>
      <c r="G308" s="6" t="s">
        <v>37</v>
      </c>
      <c r="H308" s="6" t="s">
        <v>38</v>
      </c>
      <c r="I308" s="8" t="s">
        <v>130</v>
      </c>
      <c r="J308" s="9">
        <v>1</v>
      </c>
      <c r="K308" s="9">
        <v>195</v>
      </c>
      <c r="L308" s="9">
        <v>2023</v>
      </c>
      <c r="M308" s="8" t="s">
        <v>2137</v>
      </c>
      <c r="N308" s="8" t="s">
        <v>41</v>
      </c>
      <c r="O308" s="8" t="s">
        <v>181</v>
      </c>
      <c r="P308" s="6" t="s">
        <v>65</v>
      </c>
      <c r="Q308" s="8" t="s">
        <v>132</v>
      </c>
      <c r="R308" s="10" t="s">
        <v>2138</v>
      </c>
      <c r="S308" s="11" t="s">
        <v>2139</v>
      </c>
      <c r="T308" s="6"/>
      <c r="U308" s="28" t="str">
        <f>HYPERLINK("https://media.infra-m.ru/1995/1995360/cover/1995360.jpg", "Обложка")</f>
        <v>Обложка</v>
      </c>
      <c r="V308" s="28" t="str">
        <f>HYPERLINK("https://znanium.com/catalog/product/1995360", "Ознакомиться")</f>
        <v>Ознакомиться</v>
      </c>
      <c r="W308" s="8" t="s">
        <v>184</v>
      </c>
      <c r="X308" s="6"/>
      <c r="Y308" s="6"/>
      <c r="Z308" s="6"/>
      <c r="AA308" s="6" t="s">
        <v>464</v>
      </c>
    </row>
    <row r="309" spans="1:27" s="4" customFormat="1" ht="42" customHeight="1">
      <c r="A309" s="5">
        <v>0</v>
      </c>
      <c r="B309" s="6" t="s">
        <v>2140</v>
      </c>
      <c r="C309" s="7">
        <v>2140</v>
      </c>
      <c r="D309" s="8" t="s">
        <v>2141</v>
      </c>
      <c r="E309" s="8" t="s">
        <v>2142</v>
      </c>
      <c r="F309" s="8" t="s">
        <v>2143</v>
      </c>
      <c r="G309" s="6" t="s">
        <v>121</v>
      </c>
      <c r="H309" s="6" t="s">
        <v>38</v>
      </c>
      <c r="I309" s="8" t="s">
        <v>39</v>
      </c>
      <c r="J309" s="9">
        <v>1</v>
      </c>
      <c r="K309" s="9">
        <v>466</v>
      </c>
      <c r="L309" s="9">
        <v>2024</v>
      </c>
      <c r="M309" s="8" t="s">
        <v>2144</v>
      </c>
      <c r="N309" s="8" t="s">
        <v>41</v>
      </c>
      <c r="O309" s="8" t="s">
        <v>64</v>
      </c>
      <c r="P309" s="6" t="s">
        <v>43</v>
      </c>
      <c r="Q309" s="8" t="s">
        <v>44</v>
      </c>
      <c r="R309" s="10" t="s">
        <v>2145</v>
      </c>
      <c r="S309" s="11"/>
      <c r="T309" s="6"/>
      <c r="U309" s="28" t="str">
        <f>HYPERLINK("https://media.infra-m.ru/2122/2122430/cover/2122430.jpg", "Обложка")</f>
        <v>Обложка</v>
      </c>
      <c r="V309" s="28" t="str">
        <f>HYPERLINK("https://znanium.com/catalog/product/2122430", "Ознакомиться")</f>
        <v>Ознакомиться</v>
      </c>
      <c r="W309" s="8" t="s">
        <v>730</v>
      </c>
      <c r="X309" s="6"/>
      <c r="Y309" s="6"/>
      <c r="Z309" s="6"/>
      <c r="AA309" s="6" t="s">
        <v>78</v>
      </c>
    </row>
    <row r="310" spans="1:27" s="4" customFormat="1" ht="42" customHeight="1">
      <c r="A310" s="5">
        <v>0</v>
      </c>
      <c r="B310" s="6" t="s">
        <v>2146</v>
      </c>
      <c r="C310" s="13">
        <v>714.9</v>
      </c>
      <c r="D310" s="8" t="s">
        <v>2147</v>
      </c>
      <c r="E310" s="8" t="s">
        <v>2148</v>
      </c>
      <c r="F310" s="8" t="s">
        <v>2149</v>
      </c>
      <c r="G310" s="6" t="s">
        <v>52</v>
      </c>
      <c r="H310" s="6" t="s">
        <v>38</v>
      </c>
      <c r="I310" s="8" t="s">
        <v>39</v>
      </c>
      <c r="J310" s="9">
        <v>1</v>
      </c>
      <c r="K310" s="9">
        <v>154</v>
      </c>
      <c r="L310" s="9">
        <v>2023</v>
      </c>
      <c r="M310" s="8" t="s">
        <v>2150</v>
      </c>
      <c r="N310" s="8" t="s">
        <v>41</v>
      </c>
      <c r="O310" s="8" t="s">
        <v>64</v>
      </c>
      <c r="P310" s="6" t="s">
        <v>43</v>
      </c>
      <c r="Q310" s="8" t="s">
        <v>44</v>
      </c>
      <c r="R310" s="10" t="s">
        <v>2151</v>
      </c>
      <c r="S310" s="11"/>
      <c r="T310" s="6"/>
      <c r="U310" s="28" t="str">
        <f>HYPERLINK("https://media.infra-m.ru/1979/1979149/cover/1979149.jpg", "Обложка")</f>
        <v>Обложка</v>
      </c>
      <c r="V310" s="28" t="str">
        <f>HYPERLINK("https://znanium.com/catalog/product/1811094", "Ознакомиться")</f>
        <v>Ознакомиться</v>
      </c>
      <c r="W310" s="8" t="s">
        <v>232</v>
      </c>
      <c r="X310" s="6"/>
      <c r="Y310" s="6"/>
      <c r="Z310" s="6"/>
      <c r="AA310" s="6" t="s">
        <v>91</v>
      </c>
    </row>
    <row r="311" spans="1:27" s="4" customFormat="1" ht="42" customHeight="1">
      <c r="A311" s="5">
        <v>0</v>
      </c>
      <c r="B311" s="6" t="s">
        <v>2152</v>
      </c>
      <c r="C311" s="7">
        <v>1064.9000000000001</v>
      </c>
      <c r="D311" s="8" t="s">
        <v>2153</v>
      </c>
      <c r="E311" s="8" t="s">
        <v>2154</v>
      </c>
      <c r="F311" s="8" t="s">
        <v>2155</v>
      </c>
      <c r="G311" s="6" t="s">
        <v>121</v>
      </c>
      <c r="H311" s="6" t="s">
        <v>38</v>
      </c>
      <c r="I311" s="8" t="s">
        <v>1102</v>
      </c>
      <c r="J311" s="9">
        <v>1</v>
      </c>
      <c r="K311" s="9">
        <v>304</v>
      </c>
      <c r="L311" s="9">
        <v>2020</v>
      </c>
      <c r="M311" s="8" t="s">
        <v>2156</v>
      </c>
      <c r="N311" s="8" t="s">
        <v>41</v>
      </c>
      <c r="O311" s="8" t="s">
        <v>54</v>
      </c>
      <c r="P311" s="6" t="s">
        <v>43</v>
      </c>
      <c r="Q311" s="8" t="s">
        <v>44</v>
      </c>
      <c r="R311" s="10" t="s">
        <v>2157</v>
      </c>
      <c r="S311" s="11"/>
      <c r="T311" s="6"/>
      <c r="U311" s="28" t="str">
        <f>HYPERLINK("https://media.infra-m.ru/1044/1044604/cover/1044604.jpg", "Обложка")</f>
        <v>Обложка</v>
      </c>
      <c r="V311" s="12"/>
      <c r="W311" s="8" t="s">
        <v>313</v>
      </c>
      <c r="X311" s="6"/>
      <c r="Y311" s="6"/>
      <c r="Z311" s="6"/>
      <c r="AA311" s="6" t="s">
        <v>91</v>
      </c>
    </row>
    <row r="312" spans="1:27" s="4" customFormat="1" ht="51.95" customHeight="1">
      <c r="A312" s="5">
        <v>0</v>
      </c>
      <c r="B312" s="6" t="s">
        <v>2158</v>
      </c>
      <c r="C312" s="7">
        <v>1490</v>
      </c>
      <c r="D312" s="8" t="s">
        <v>2159</v>
      </c>
      <c r="E312" s="8" t="s">
        <v>2160</v>
      </c>
      <c r="F312" s="8" t="s">
        <v>2161</v>
      </c>
      <c r="G312" s="6" t="s">
        <v>37</v>
      </c>
      <c r="H312" s="6" t="s">
        <v>38</v>
      </c>
      <c r="I312" s="8" t="s">
        <v>62</v>
      </c>
      <c r="J312" s="9">
        <v>1</v>
      </c>
      <c r="K312" s="9">
        <v>216</v>
      </c>
      <c r="L312" s="9">
        <v>2023</v>
      </c>
      <c r="M312" s="8" t="s">
        <v>2162</v>
      </c>
      <c r="N312" s="8" t="s">
        <v>41</v>
      </c>
      <c r="O312" s="8" t="s">
        <v>54</v>
      </c>
      <c r="P312" s="6" t="s">
        <v>65</v>
      </c>
      <c r="Q312" s="8" t="s">
        <v>66</v>
      </c>
      <c r="R312" s="10" t="s">
        <v>2163</v>
      </c>
      <c r="S312" s="11" t="s">
        <v>2164</v>
      </c>
      <c r="T312" s="6"/>
      <c r="U312" s="28" t="str">
        <f>HYPERLINK("https://media.infra-m.ru/2111/2111337/cover/2111337.jpg", "Обложка")</f>
        <v>Обложка</v>
      </c>
      <c r="V312" s="28" t="str">
        <f>HYPERLINK("https://znanium.com/catalog/product/1831624", "Ознакомиться")</f>
        <v>Ознакомиться</v>
      </c>
      <c r="W312" s="8" t="s">
        <v>2165</v>
      </c>
      <c r="X312" s="6"/>
      <c r="Y312" s="6"/>
      <c r="Z312" s="6"/>
      <c r="AA312" s="6" t="s">
        <v>78</v>
      </c>
    </row>
    <row r="313" spans="1:27" s="4" customFormat="1" ht="42" customHeight="1">
      <c r="A313" s="5">
        <v>0</v>
      </c>
      <c r="B313" s="6" t="s">
        <v>2166</v>
      </c>
      <c r="C313" s="13">
        <v>830</v>
      </c>
      <c r="D313" s="8" t="s">
        <v>2167</v>
      </c>
      <c r="E313" s="8" t="s">
        <v>2168</v>
      </c>
      <c r="F313" s="8" t="s">
        <v>2169</v>
      </c>
      <c r="G313" s="6" t="s">
        <v>52</v>
      </c>
      <c r="H313" s="6" t="s">
        <v>38</v>
      </c>
      <c r="I313" s="8" t="s">
        <v>39</v>
      </c>
      <c r="J313" s="9">
        <v>1</v>
      </c>
      <c r="K313" s="9">
        <v>185</v>
      </c>
      <c r="L313" s="9">
        <v>2023</v>
      </c>
      <c r="M313" s="8" t="s">
        <v>2170</v>
      </c>
      <c r="N313" s="8" t="s">
        <v>41</v>
      </c>
      <c r="O313" s="8" t="s">
        <v>64</v>
      </c>
      <c r="P313" s="6" t="s">
        <v>43</v>
      </c>
      <c r="Q313" s="8" t="s">
        <v>44</v>
      </c>
      <c r="R313" s="10" t="s">
        <v>2171</v>
      </c>
      <c r="S313" s="11"/>
      <c r="T313" s="6"/>
      <c r="U313" s="28" t="str">
        <f>HYPERLINK("https://media.infra-m.ru/2032/2032491/cover/2032491.jpg", "Обложка")</f>
        <v>Обложка</v>
      </c>
      <c r="V313" s="28" t="str">
        <f>HYPERLINK("https://znanium.com/catalog/product/2032491", "Ознакомиться")</f>
        <v>Ознакомиться</v>
      </c>
      <c r="W313" s="8" t="s">
        <v>2172</v>
      </c>
      <c r="X313" s="6"/>
      <c r="Y313" s="6"/>
      <c r="Z313" s="6"/>
      <c r="AA313" s="6" t="s">
        <v>320</v>
      </c>
    </row>
    <row r="314" spans="1:27" s="4" customFormat="1" ht="51.95" customHeight="1">
      <c r="A314" s="5">
        <v>0</v>
      </c>
      <c r="B314" s="6" t="s">
        <v>2173</v>
      </c>
      <c r="C314" s="7">
        <v>1254</v>
      </c>
      <c r="D314" s="8" t="s">
        <v>2174</v>
      </c>
      <c r="E314" s="8" t="s">
        <v>2175</v>
      </c>
      <c r="F314" s="8" t="s">
        <v>2176</v>
      </c>
      <c r="G314" s="6" t="s">
        <v>121</v>
      </c>
      <c r="H314" s="6" t="s">
        <v>38</v>
      </c>
      <c r="I314" s="8" t="s">
        <v>83</v>
      </c>
      <c r="J314" s="9">
        <v>1</v>
      </c>
      <c r="K314" s="9">
        <v>272</v>
      </c>
      <c r="L314" s="9">
        <v>2024</v>
      </c>
      <c r="M314" s="8" t="s">
        <v>2177</v>
      </c>
      <c r="N314" s="8" t="s">
        <v>41</v>
      </c>
      <c r="O314" s="8" t="s">
        <v>54</v>
      </c>
      <c r="P314" s="6" t="s">
        <v>65</v>
      </c>
      <c r="Q314" s="8" t="s">
        <v>66</v>
      </c>
      <c r="R314" s="10" t="s">
        <v>2178</v>
      </c>
      <c r="S314" s="11" t="s">
        <v>2179</v>
      </c>
      <c r="T314" s="6"/>
      <c r="U314" s="28" t="str">
        <f>HYPERLINK("https://media.infra-m.ru/2061/2061317/cover/2061317.jpg", "Обложка")</f>
        <v>Обложка</v>
      </c>
      <c r="V314" s="28" t="str">
        <f>HYPERLINK("https://znanium.com/catalog/product/1072253", "Ознакомиться")</f>
        <v>Ознакомиться</v>
      </c>
      <c r="W314" s="8" t="s">
        <v>1001</v>
      </c>
      <c r="X314" s="6"/>
      <c r="Y314" s="6"/>
      <c r="Z314" s="6"/>
      <c r="AA314" s="6" t="s">
        <v>278</v>
      </c>
    </row>
    <row r="315" spans="1:27" s="4" customFormat="1" ht="51.95" customHeight="1">
      <c r="A315" s="5">
        <v>0</v>
      </c>
      <c r="B315" s="6" t="s">
        <v>2180</v>
      </c>
      <c r="C315" s="13">
        <v>870</v>
      </c>
      <c r="D315" s="8" t="s">
        <v>2181</v>
      </c>
      <c r="E315" s="8" t="s">
        <v>2182</v>
      </c>
      <c r="F315" s="8" t="s">
        <v>2183</v>
      </c>
      <c r="G315" s="6" t="s">
        <v>37</v>
      </c>
      <c r="H315" s="6" t="s">
        <v>122</v>
      </c>
      <c r="I315" s="8" t="s">
        <v>130</v>
      </c>
      <c r="J315" s="9">
        <v>1</v>
      </c>
      <c r="K315" s="9">
        <v>233</v>
      </c>
      <c r="L315" s="9">
        <v>2021</v>
      </c>
      <c r="M315" s="8" t="s">
        <v>2184</v>
      </c>
      <c r="N315" s="8" t="s">
        <v>41</v>
      </c>
      <c r="O315" s="8" t="s">
        <v>181</v>
      </c>
      <c r="P315" s="6" t="s">
        <v>85</v>
      </c>
      <c r="Q315" s="8" t="s">
        <v>66</v>
      </c>
      <c r="R315" s="10" t="s">
        <v>2185</v>
      </c>
      <c r="S315" s="11"/>
      <c r="T315" s="6"/>
      <c r="U315" s="28" t="str">
        <f>HYPERLINK("https://media.infra-m.ru/2121/2121161/cover/2121161.jpg", "Обложка")</f>
        <v>Обложка</v>
      </c>
      <c r="V315" s="28" t="str">
        <f>HYPERLINK("https://znanium.com/catalog/product/1019421", "Ознакомиться")</f>
        <v>Ознакомиться</v>
      </c>
      <c r="W315" s="8" t="s">
        <v>1317</v>
      </c>
      <c r="X315" s="6"/>
      <c r="Y315" s="6"/>
      <c r="Z315" s="6"/>
      <c r="AA315" s="6" t="s">
        <v>1268</v>
      </c>
    </row>
    <row r="316" spans="1:27" s="4" customFormat="1" ht="51.95" customHeight="1">
      <c r="A316" s="5">
        <v>0</v>
      </c>
      <c r="B316" s="6" t="s">
        <v>2186</v>
      </c>
      <c r="C316" s="13">
        <v>790</v>
      </c>
      <c r="D316" s="8" t="s">
        <v>2187</v>
      </c>
      <c r="E316" s="8" t="s">
        <v>2188</v>
      </c>
      <c r="F316" s="8" t="s">
        <v>2183</v>
      </c>
      <c r="G316" s="6" t="s">
        <v>121</v>
      </c>
      <c r="H316" s="6" t="s">
        <v>122</v>
      </c>
      <c r="I316" s="8"/>
      <c r="J316" s="9">
        <v>1</v>
      </c>
      <c r="K316" s="9">
        <v>225</v>
      </c>
      <c r="L316" s="9">
        <v>2019</v>
      </c>
      <c r="M316" s="8" t="s">
        <v>2189</v>
      </c>
      <c r="N316" s="8" t="s">
        <v>41</v>
      </c>
      <c r="O316" s="8" t="s">
        <v>181</v>
      </c>
      <c r="P316" s="6" t="s">
        <v>85</v>
      </c>
      <c r="Q316" s="8" t="s">
        <v>66</v>
      </c>
      <c r="R316" s="10" t="s">
        <v>2185</v>
      </c>
      <c r="S316" s="11"/>
      <c r="T316" s="6"/>
      <c r="U316" s="28" t="str">
        <f>HYPERLINK("https://media.infra-m.ru/1019/1019421/cover/1019421.jpg", "Обложка")</f>
        <v>Обложка</v>
      </c>
      <c r="V316" s="28" t="str">
        <f>HYPERLINK("https://znanium.com/catalog/product/1019421", "Ознакомиться")</f>
        <v>Ознакомиться</v>
      </c>
      <c r="W316" s="8" t="s">
        <v>1317</v>
      </c>
      <c r="X316" s="6"/>
      <c r="Y316" s="6"/>
      <c r="Z316" s="6"/>
      <c r="AA316" s="6" t="s">
        <v>91</v>
      </c>
    </row>
    <row r="317" spans="1:27" s="4" customFormat="1" ht="51.95" customHeight="1">
      <c r="A317" s="5">
        <v>0</v>
      </c>
      <c r="B317" s="6" t="s">
        <v>2190</v>
      </c>
      <c r="C317" s="13">
        <v>630</v>
      </c>
      <c r="D317" s="8" t="s">
        <v>2191</v>
      </c>
      <c r="E317" s="8" t="s">
        <v>2192</v>
      </c>
      <c r="F317" s="8" t="s">
        <v>2193</v>
      </c>
      <c r="G317" s="6" t="s">
        <v>52</v>
      </c>
      <c r="H317" s="6" t="s">
        <v>38</v>
      </c>
      <c r="I317" s="8" t="s">
        <v>2194</v>
      </c>
      <c r="J317" s="9">
        <v>1</v>
      </c>
      <c r="K317" s="9">
        <v>140</v>
      </c>
      <c r="L317" s="9">
        <v>2023</v>
      </c>
      <c r="M317" s="8" t="s">
        <v>2195</v>
      </c>
      <c r="N317" s="8" t="s">
        <v>41</v>
      </c>
      <c r="O317" s="8" t="s">
        <v>181</v>
      </c>
      <c r="P317" s="6" t="s">
        <v>43</v>
      </c>
      <c r="Q317" s="8" t="s">
        <v>44</v>
      </c>
      <c r="R317" s="10" t="s">
        <v>2196</v>
      </c>
      <c r="S317" s="11"/>
      <c r="T317" s="6"/>
      <c r="U317" s="28" t="str">
        <f>HYPERLINK("https://media.infra-m.ru/1915/1915703/cover/1915703.jpg", "Обложка")</f>
        <v>Обложка</v>
      </c>
      <c r="V317" s="28" t="str">
        <f>HYPERLINK("https://znanium.com/catalog/product/1915703", "Ознакомиться")</f>
        <v>Ознакомиться</v>
      </c>
      <c r="W317" s="8" t="s">
        <v>963</v>
      </c>
      <c r="X317" s="6"/>
      <c r="Y317" s="6"/>
      <c r="Z317" s="6"/>
      <c r="AA317" s="6" t="s">
        <v>108</v>
      </c>
    </row>
    <row r="318" spans="1:27" s="4" customFormat="1" ht="51.95" customHeight="1">
      <c r="A318" s="5">
        <v>0</v>
      </c>
      <c r="B318" s="6" t="s">
        <v>2197</v>
      </c>
      <c r="C318" s="7">
        <v>1204</v>
      </c>
      <c r="D318" s="8" t="s">
        <v>2198</v>
      </c>
      <c r="E318" s="8" t="s">
        <v>2199</v>
      </c>
      <c r="F318" s="8" t="s">
        <v>2200</v>
      </c>
      <c r="G318" s="6" t="s">
        <v>52</v>
      </c>
      <c r="H318" s="6" t="s">
        <v>38</v>
      </c>
      <c r="I318" s="8" t="s">
        <v>62</v>
      </c>
      <c r="J318" s="9">
        <v>1</v>
      </c>
      <c r="K318" s="9">
        <v>263</v>
      </c>
      <c r="L318" s="9">
        <v>2023</v>
      </c>
      <c r="M318" s="8" t="s">
        <v>2201</v>
      </c>
      <c r="N318" s="8" t="s">
        <v>41</v>
      </c>
      <c r="O318" s="8" t="s">
        <v>181</v>
      </c>
      <c r="P318" s="6" t="s">
        <v>65</v>
      </c>
      <c r="Q318" s="8" t="s">
        <v>66</v>
      </c>
      <c r="R318" s="10" t="s">
        <v>2202</v>
      </c>
      <c r="S318" s="11" t="s">
        <v>2203</v>
      </c>
      <c r="T318" s="6"/>
      <c r="U318" s="28" t="str">
        <f>HYPERLINK("https://media.infra-m.ru/2069/2069298/cover/2069298.jpg", "Обложка")</f>
        <v>Обложка</v>
      </c>
      <c r="V318" s="28" t="str">
        <f>HYPERLINK("https://znanium.com/catalog/product/1816818", "Ознакомиться")</f>
        <v>Ознакомиться</v>
      </c>
      <c r="W318" s="8" t="s">
        <v>582</v>
      </c>
      <c r="X318" s="6"/>
      <c r="Y318" s="6"/>
      <c r="Z318" s="6"/>
      <c r="AA318" s="6" t="s">
        <v>161</v>
      </c>
    </row>
    <row r="319" spans="1:27" s="4" customFormat="1" ht="51.95" customHeight="1">
      <c r="A319" s="5">
        <v>0</v>
      </c>
      <c r="B319" s="6" t="s">
        <v>2204</v>
      </c>
      <c r="C319" s="7">
        <v>1154.9000000000001</v>
      </c>
      <c r="D319" s="8" t="s">
        <v>2205</v>
      </c>
      <c r="E319" s="8" t="s">
        <v>2206</v>
      </c>
      <c r="F319" s="8" t="s">
        <v>1476</v>
      </c>
      <c r="G319" s="6" t="s">
        <v>52</v>
      </c>
      <c r="H319" s="6" t="s">
        <v>38</v>
      </c>
      <c r="I319" s="8" t="s">
        <v>39</v>
      </c>
      <c r="J319" s="9">
        <v>1</v>
      </c>
      <c r="K319" s="9">
        <v>256</v>
      </c>
      <c r="L319" s="9">
        <v>2023</v>
      </c>
      <c r="M319" s="8" t="s">
        <v>2207</v>
      </c>
      <c r="N319" s="8" t="s">
        <v>41</v>
      </c>
      <c r="O319" s="8" t="s">
        <v>64</v>
      </c>
      <c r="P319" s="6" t="s">
        <v>43</v>
      </c>
      <c r="Q319" s="8" t="s">
        <v>44</v>
      </c>
      <c r="R319" s="10" t="s">
        <v>2208</v>
      </c>
      <c r="S319" s="11"/>
      <c r="T319" s="6"/>
      <c r="U319" s="28" t="str">
        <f>HYPERLINK("https://media.infra-m.ru/2023/2023210/cover/2023210.jpg", "Обложка")</f>
        <v>Обложка</v>
      </c>
      <c r="V319" s="28" t="str">
        <f>HYPERLINK("https://znanium.com/catalog/product/989807", "Ознакомиться")</f>
        <v>Ознакомиться</v>
      </c>
      <c r="W319" s="8" t="s">
        <v>1479</v>
      </c>
      <c r="X319" s="6"/>
      <c r="Y319" s="6"/>
      <c r="Z319" s="6"/>
      <c r="AA319" s="6" t="s">
        <v>193</v>
      </c>
    </row>
    <row r="320" spans="1:27" s="4" customFormat="1" ht="51.95" customHeight="1">
      <c r="A320" s="5">
        <v>0</v>
      </c>
      <c r="B320" s="6" t="s">
        <v>2209</v>
      </c>
      <c r="C320" s="13">
        <v>534.9</v>
      </c>
      <c r="D320" s="8" t="s">
        <v>2210</v>
      </c>
      <c r="E320" s="8" t="s">
        <v>2211</v>
      </c>
      <c r="F320" s="8" t="s">
        <v>2212</v>
      </c>
      <c r="G320" s="6" t="s">
        <v>52</v>
      </c>
      <c r="H320" s="6" t="s">
        <v>207</v>
      </c>
      <c r="I320" s="8" t="s">
        <v>62</v>
      </c>
      <c r="J320" s="9">
        <v>1</v>
      </c>
      <c r="K320" s="9">
        <v>168</v>
      </c>
      <c r="L320" s="9">
        <v>2019</v>
      </c>
      <c r="M320" s="8" t="s">
        <v>2213</v>
      </c>
      <c r="N320" s="8" t="s">
        <v>41</v>
      </c>
      <c r="O320" s="8" t="s">
        <v>64</v>
      </c>
      <c r="P320" s="6" t="s">
        <v>65</v>
      </c>
      <c r="Q320" s="8" t="s">
        <v>66</v>
      </c>
      <c r="R320" s="10" t="s">
        <v>2214</v>
      </c>
      <c r="S320" s="11" t="s">
        <v>2215</v>
      </c>
      <c r="T320" s="6"/>
      <c r="U320" s="28" t="str">
        <f>HYPERLINK("https://media.infra-m.ru/1008/1008130/cover/1008130.jpg", "Обложка")</f>
        <v>Обложка</v>
      </c>
      <c r="V320" s="28" t="str">
        <f>HYPERLINK("https://znanium.com/catalog/product/1008130", "Ознакомиться")</f>
        <v>Ознакомиться</v>
      </c>
      <c r="W320" s="8" t="s">
        <v>542</v>
      </c>
      <c r="X320" s="6"/>
      <c r="Y320" s="6"/>
      <c r="Z320" s="6"/>
      <c r="AA320" s="6" t="s">
        <v>144</v>
      </c>
    </row>
    <row r="321" spans="1:27" s="4" customFormat="1" ht="42" customHeight="1">
      <c r="A321" s="5">
        <v>0</v>
      </c>
      <c r="B321" s="6" t="s">
        <v>2216</v>
      </c>
      <c r="C321" s="7">
        <v>1190</v>
      </c>
      <c r="D321" s="8" t="s">
        <v>2217</v>
      </c>
      <c r="E321" s="8" t="s">
        <v>2218</v>
      </c>
      <c r="F321" s="8" t="s">
        <v>2219</v>
      </c>
      <c r="G321" s="6" t="s">
        <v>121</v>
      </c>
      <c r="H321" s="6" t="s">
        <v>38</v>
      </c>
      <c r="I321" s="8" t="s">
        <v>39</v>
      </c>
      <c r="J321" s="9">
        <v>1</v>
      </c>
      <c r="K321" s="9">
        <v>277</v>
      </c>
      <c r="L321" s="9">
        <v>2022</v>
      </c>
      <c r="M321" s="8" t="s">
        <v>2220</v>
      </c>
      <c r="N321" s="8" t="s">
        <v>41</v>
      </c>
      <c r="O321" s="8" t="s">
        <v>64</v>
      </c>
      <c r="P321" s="6" t="s">
        <v>43</v>
      </c>
      <c r="Q321" s="8" t="s">
        <v>44</v>
      </c>
      <c r="R321" s="10" t="s">
        <v>2221</v>
      </c>
      <c r="S321" s="11"/>
      <c r="T321" s="6"/>
      <c r="U321" s="28" t="str">
        <f>HYPERLINK("https://media.infra-m.ru/1858/1858257/cover/1858257.jpg", "Обложка")</f>
        <v>Обложка</v>
      </c>
      <c r="V321" s="28" t="str">
        <f>HYPERLINK("https://znanium.com/catalog/product/1858257", "Ознакомиться")</f>
        <v>Ознакомиться</v>
      </c>
      <c r="W321" s="8" t="s">
        <v>1394</v>
      </c>
      <c r="X321" s="6"/>
      <c r="Y321" s="6"/>
      <c r="Z321" s="6"/>
      <c r="AA321" s="6" t="s">
        <v>78</v>
      </c>
    </row>
    <row r="322" spans="1:27" s="4" customFormat="1" ht="51.95" customHeight="1">
      <c r="A322" s="5">
        <v>0</v>
      </c>
      <c r="B322" s="6" t="s">
        <v>2222</v>
      </c>
      <c r="C322" s="13">
        <v>830</v>
      </c>
      <c r="D322" s="8" t="s">
        <v>2223</v>
      </c>
      <c r="E322" s="8" t="s">
        <v>2224</v>
      </c>
      <c r="F322" s="8" t="s">
        <v>2225</v>
      </c>
      <c r="G322" s="6" t="s">
        <v>52</v>
      </c>
      <c r="H322" s="6" t="s">
        <v>38</v>
      </c>
      <c r="I322" s="8" t="s">
        <v>39</v>
      </c>
      <c r="J322" s="9">
        <v>1</v>
      </c>
      <c r="K322" s="9">
        <v>242</v>
      </c>
      <c r="L322" s="9">
        <v>2018</v>
      </c>
      <c r="M322" s="8" t="s">
        <v>2226</v>
      </c>
      <c r="N322" s="8" t="s">
        <v>41</v>
      </c>
      <c r="O322" s="8" t="s">
        <v>181</v>
      </c>
      <c r="P322" s="6" t="s">
        <v>43</v>
      </c>
      <c r="Q322" s="8" t="s">
        <v>44</v>
      </c>
      <c r="R322" s="10" t="s">
        <v>2227</v>
      </c>
      <c r="S322" s="11"/>
      <c r="T322" s="6" t="s">
        <v>89</v>
      </c>
      <c r="U322" s="28" t="str">
        <f>HYPERLINK("https://media.infra-m.ru/0961/0961783/cover/961783.jpg", "Обложка")</f>
        <v>Обложка</v>
      </c>
      <c r="V322" s="28" t="str">
        <f>HYPERLINK("https://znanium.com/catalog/product/961783", "Ознакомиться")</f>
        <v>Ознакомиться</v>
      </c>
      <c r="W322" s="8"/>
      <c r="X322" s="6"/>
      <c r="Y322" s="6"/>
      <c r="Z322" s="6"/>
      <c r="AA322" s="6" t="s">
        <v>91</v>
      </c>
    </row>
    <row r="323" spans="1:27" s="4" customFormat="1" ht="51.95" customHeight="1">
      <c r="A323" s="5">
        <v>0</v>
      </c>
      <c r="B323" s="6" t="s">
        <v>2228</v>
      </c>
      <c r="C323" s="7">
        <v>2050</v>
      </c>
      <c r="D323" s="8" t="s">
        <v>2229</v>
      </c>
      <c r="E323" s="8" t="s">
        <v>2230</v>
      </c>
      <c r="F323" s="8" t="s">
        <v>2231</v>
      </c>
      <c r="G323" s="6" t="s">
        <v>121</v>
      </c>
      <c r="H323" s="6" t="s">
        <v>38</v>
      </c>
      <c r="I323" s="8" t="s">
        <v>1976</v>
      </c>
      <c r="J323" s="9">
        <v>1</v>
      </c>
      <c r="K323" s="9">
        <v>454</v>
      </c>
      <c r="L323" s="9">
        <v>2023</v>
      </c>
      <c r="M323" s="8" t="s">
        <v>2232</v>
      </c>
      <c r="N323" s="8" t="s">
        <v>41</v>
      </c>
      <c r="O323" s="8" t="s">
        <v>42</v>
      </c>
      <c r="P323" s="6" t="s">
        <v>2233</v>
      </c>
      <c r="Q323" s="8" t="s">
        <v>1086</v>
      </c>
      <c r="R323" s="10" t="s">
        <v>2234</v>
      </c>
      <c r="S323" s="11"/>
      <c r="T323" s="6"/>
      <c r="U323" s="28" t="str">
        <f>HYPERLINK("https://media.infra-m.ru/1921/1921409/cover/1921409.jpg", "Обложка")</f>
        <v>Обложка</v>
      </c>
      <c r="V323" s="28" t="str">
        <f>HYPERLINK("https://znanium.com/catalog/product/1921409", "Ознакомиться")</f>
        <v>Ознакомиться</v>
      </c>
      <c r="W323" s="8" t="s">
        <v>2235</v>
      </c>
      <c r="X323" s="6"/>
      <c r="Y323" s="6"/>
      <c r="Z323" s="6"/>
      <c r="AA323" s="6" t="s">
        <v>193</v>
      </c>
    </row>
    <row r="324" spans="1:27" s="4" customFormat="1" ht="42" customHeight="1">
      <c r="A324" s="5">
        <v>0</v>
      </c>
      <c r="B324" s="6" t="s">
        <v>2236</v>
      </c>
      <c r="C324" s="7">
        <v>1420</v>
      </c>
      <c r="D324" s="8" t="s">
        <v>2237</v>
      </c>
      <c r="E324" s="8" t="s">
        <v>2238</v>
      </c>
      <c r="F324" s="8" t="s">
        <v>2239</v>
      </c>
      <c r="G324" s="6" t="s">
        <v>52</v>
      </c>
      <c r="H324" s="6" t="s">
        <v>38</v>
      </c>
      <c r="I324" s="8" t="s">
        <v>39</v>
      </c>
      <c r="J324" s="9">
        <v>1</v>
      </c>
      <c r="K324" s="9">
        <v>373</v>
      </c>
      <c r="L324" s="9">
        <v>2022</v>
      </c>
      <c r="M324" s="8" t="s">
        <v>2240</v>
      </c>
      <c r="N324" s="8" t="s">
        <v>41</v>
      </c>
      <c r="O324" s="8" t="s">
        <v>42</v>
      </c>
      <c r="P324" s="6" t="s">
        <v>43</v>
      </c>
      <c r="Q324" s="8" t="s">
        <v>44</v>
      </c>
      <c r="R324" s="10" t="s">
        <v>2241</v>
      </c>
      <c r="S324" s="11"/>
      <c r="T324" s="6"/>
      <c r="U324" s="28" t="str">
        <f>HYPERLINK("https://media.infra-m.ru/1831/1831655/cover/1831655.jpg", "Обложка")</f>
        <v>Обложка</v>
      </c>
      <c r="V324" s="28" t="str">
        <f>HYPERLINK("https://znanium.com/catalog/product/1831655", "Ознакомиться")</f>
        <v>Ознакомиться</v>
      </c>
      <c r="W324" s="8" t="s">
        <v>2242</v>
      </c>
      <c r="X324" s="6"/>
      <c r="Y324" s="6"/>
      <c r="Z324" s="6"/>
      <c r="AA324" s="6" t="s">
        <v>78</v>
      </c>
    </row>
    <row r="325" spans="1:27" s="4" customFormat="1" ht="51.95" customHeight="1">
      <c r="A325" s="5">
        <v>0</v>
      </c>
      <c r="B325" s="6" t="s">
        <v>2243</v>
      </c>
      <c r="C325" s="7">
        <v>1560</v>
      </c>
      <c r="D325" s="8" t="s">
        <v>2244</v>
      </c>
      <c r="E325" s="8" t="s">
        <v>2245</v>
      </c>
      <c r="F325" s="8" t="s">
        <v>2246</v>
      </c>
      <c r="G325" s="6" t="s">
        <v>37</v>
      </c>
      <c r="H325" s="6" t="s">
        <v>38</v>
      </c>
      <c r="I325" s="8" t="s">
        <v>62</v>
      </c>
      <c r="J325" s="9">
        <v>1</v>
      </c>
      <c r="K325" s="9">
        <v>345</v>
      </c>
      <c r="L325" s="9">
        <v>2023</v>
      </c>
      <c r="M325" s="8" t="s">
        <v>2247</v>
      </c>
      <c r="N325" s="8" t="s">
        <v>41</v>
      </c>
      <c r="O325" s="8" t="s">
        <v>64</v>
      </c>
      <c r="P325" s="6" t="s">
        <v>85</v>
      </c>
      <c r="Q325" s="8" t="s">
        <v>66</v>
      </c>
      <c r="R325" s="10" t="s">
        <v>2248</v>
      </c>
      <c r="S325" s="11" t="s">
        <v>2249</v>
      </c>
      <c r="T325" s="6" t="s">
        <v>89</v>
      </c>
      <c r="U325" s="28" t="str">
        <f>HYPERLINK("https://media.infra-m.ru/1971/1971059/cover/1971059.jpg", "Обложка")</f>
        <v>Обложка</v>
      </c>
      <c r="V325" s="28" t="str">
        <f>HYPERLINK("https://znanium.com/catalog/product/1971059", "Ознакомиться")</f>
        <v>Ознакомиться</v>
      </c>
      <c r="W325" s="8" t="s">
        <v>2250</v>
      </c>
      <c r="X325" s="6"/>
      <c r="Y325" s="6"/>
      <c r="Z325" s="6"/>
      <c r="AA325" s="6" t="s">
        <v>193</v>
      </c>
    </row>
    <row r="326" spans="1:27" s="4" customFormat="1" ht="51.95" customHeight="1">
      <c r="A326" s="5">
        <v>0</v>
      </c>
      <c r="B326" s="6" t="s">
        <v>2251</v>
      </c>
      <c r="C326" s="13">
        <v>864.9</v>
      </c>
      <c r="D326" s="8" t="s">
        <v>2252</v>
      </c>
      <c r="E326" s="8" t="s">
        <v>2245</v>
      </c>
      <c r="F326" s="8" t="s">
        <v>2253</v>
      </c>
      <c r="G326" s="6" t="s">
        <v>121</v>
      </c>
      <c r="H326" s="6" t="s">
        <v>207</v>
      </c>
      <c r="I326" s="8"/>
      <c r="J326" s="9">
        <v>1</v>
      </c>
      <c r="K326" s="9">
        <v>192</v>
      </c>
      <c r="L326" s="9">
        <v>2023</v>
      </c>
      <c r="M326" s="8" t="s">
        <v>2254</v>
      </c>
      <c r="N326" s="8" t="s">
        <v>41</v>
      </c>
      <c r="O326" s="8" t="s">
        <v>64</v>
      </c>
      <c r="P326" s="6" t="s">
        <v>65</v>
      </c>
      <c r="Q326" s="8" t="s">
        <v>66</v>
      </c>
      <c r="R326" s="10" t="s">
        <v>2255</v>
      </c>
      <c r="S326" s="11" t="s">
        <v>2256</v>
      </c>
      <c r="T326" s="6"/>
      <c r="U326" s="28" t="str">
        <f>HYPERLINK("https://media.infra-m.ru/2033/2033512/cover/2033512.jpg", "Обложка")</f>
        <v>Обложка</v>
      </c>
      <c r="V326" s="28" t="str">
        <f>HYPERLINK("https://znanium.com/catalog/product/2033512", "Ознакомиться")</f>
        <v>Ознакомиться</v>
      </c>
      <c r="W326" s="8" t="s">
        <v>1245</v>
      </c>
      <c r="X326" s="6"/>
      <c r="Y326" s="6"/>
      <c r="Z326" s="6"/>
      <c r="AA326" s="6" t="s">
        <v>269</v>
      </c>
    </row>
    <row r="327" spans="1:27" s="4" customFormat="1" ht="51.95" customHeight="1">
      <c r="A327" s="5">
        <v>0</v>
      </c>
      <c r="B327" s="6" t="s">
        <v>2257</v>
      </c>
      <c r="C327" s="7">
        <v>1794</v>
      </c>
      <c r="D327" s="8" t="s">
        <v>2258</v>
      </c>
      <c r="E327" s="8" t="s">
        <v>2245</v>
      </c>
      <c r="F327" s="8" t="s">
        <v>2259</v>
      </c>
      <c r="G327" s="6" t="s">
        <v>37</v>
      </c>
      <c r="H327" s="6" t="s">
        <v>38</v>
      </c>
      <c r="I327" s="8" t="s">
        <v>62</v>
      </c>
      <c r="J327" s="9">
        <v>1</v>
      </c>
      <c r="K327" s="9">
        <v>390</v>
      </c>
      <c r="L327" s="9">
        <v>2024</v>
      </c>
      <c r="M327" s="8" t="s">
        <v>2260</v>
      </c>
      <c r="N327" s="8" t="s">
        <v>41</v>
      </c>
      <c r="O327" s="8" t="s">
        <v>64</v>
      </c>
      <c r="P327" s="6" t="s">
        <v>65</v>
      </c>
      <c r="Q327" s="8" t="s">
        <v>66</v>
      </c>
      <c r="R327" s="10" t="s">
        <v>2261</v>
      </c>
      <c r="S327" s="11" t="s">
        <v>2262</v>
      </c>
      <c r="T327" s="6"/>
      <c r="U327" s="28" t="str">
        <f>HYPERLINK("https://media.infra-m.ru/2112/2112518/cover/2112518.jpg", "Обложка")</f>
        <v>Обложка</v>
      </c>
      <c r="V327" s="28" t="str">
        <f>HYPERLINK("https://znanium.com/catalog/product/1842525", "Ознакомиться")</f>
        <v>Ознакомиться</v>
      </c>
      <c r="W327" s="8" t="s">
        <v>2263</v>
      </c>
      <c r="X327" s="6"/>
      <c r="Y327" s="6"/>
      <c r="Z327" s="6"/>
      <c r="AA327" s="6" t="s">
        <v>47</v>
      </c>
    </row>
    <row r="328" spans="1:27" s="4" customFormat="1" ht="42" customHeight="1">
      <c r="A328" s="5">
        <v>0</v>
      </c>
      <c r="B328" s="6" t="s">
        <v>2264</v>
      </c>
      <c r="C328" s="7">
        <v>1864.9</v>
      </c>
      <c r="D328" s="8" t="s">
        <v>2265</v>
      </c>
      <c r="E328" s="8" t="s">
        <v>2266</v>
      </c>
      <c r="F328" s="8" t="s">
        <v>2267</v>
      </c>
      <c r="G328" s="6" t="s">
        <v>52</v>
      </c>
      <c r="H328" s="6" t="s">
        <v>38</v>
      </c>
      <c r="I328" s="8" t="s">
        <v>39</v>
      </c>
      <c r="J328" s="9">
        <v>1</v>
      </c>
      <c r="K328" s="9">
        <v>414</v>
      </c>
      <c r="L328" s="9">
        <v>2023</v>
      </c>
      <c r="M328" s="8" t="s">
        <v>2268</v>
      </c>
      <c r="N328" s="8" t="s">
        <v>41</v>
      </c>
      <c r="O328" s="8" t="s">
        <v>64</v>
      </c>
      <c r="P328" s="6" t="s">
        <v>43</v>
      </c>
      <c r="Q328" s="8" t="s">
        <v>44</v>
      </c>
      <c r="R328" s="10" t="s">
        <v>2269</v>
      </c>
      <c r="S328" s="11"/>
      <c r="T328" s="6"/>
      <c r="U328" s="28" t="str">
        <f>HYPERLINK("https://media.infra-m.ru/1959/1959260/cover/1959260.jpg", "Обложка")</f>
        <v>Обложка</v>
      </c>
      <c r="V328" s="28" t="str">
        <f>HYPERLINK("https://znanium.com/catalog/product/1048434", "Ознакомиться")</f>
        <v>Ознакомиться</v>
      </c>
      <c r="W328" s="8" t="s">
        <v>500</v>
      </c>
      <c r="X328" s="6"/>
      <c r="Y328" s="6"/>
      <c r="Z328" s="6"/>
      <c r="AA328" s="6" t="s">
        <v>108</v>
      </c>
    </row>
    <row r="329" spans="1:27" s="4" customFormat="1" ht="42" customHeight="1">
      <c r="A329" s="5">
        <v>0</v>
      </c>
      <c r="B329" s="6" t="s">
        <v>2270</v>
      </c>
      <c r="C329" s="7">
        <v>1590</v>
      </c>
      <c r="D329" s="8" t="s">
        <v>2271</v>
      </c>
      <c r="E329" s="8" t="s">
        <v>2272</v>
      </c>
      <c r="F329" s="8" t="s">
        <v>2273</v>
      </c>
      <c r="G329" s="6" t="s">
        <v>52</v>
      </c>
      <c r="H329" s="6" t="s">
        <v>38</v>
      </c>
      <c r="I329" s="8" t="s">
        <v>39</v>
      </c>
      <c r="J329" s="9">
        <v>1</v>
      </c>
      <c r="K329" s="9">
        <v>471</v>
      </c>
      <c r="L329" s="9">
        <v>2020</v>
      </c>
      <c r="M329" s="8" t="s">
        <v>2274</v>
      </c>
      <c r="N329" s="8" t="s">
        <v>41</v>
      </c>
      <c r="O329" s="8" t="s">
        <v>97</v>
      </c>
      <c r="P329" s="6" t="s">
        <v>43</v>
      </c>
      <c r="Q329" s="8" t="s">
        <v>44</v>
      </c>
      <c r="R329" s="10" t="s">
        <v>2275</v>
      </c>
      <c r="S329" s="11"/>
      <c r="T329" s="6"/>
      <c r="U329" s="28" t="str">
        <f>HYPERLINK("https://media.infra-m.ru/1032/1032986/cover/1032986.jpg", "Обложка")</f>
        <v>Обложка</v>
      </c>
      <c r="V329" s="28" t="str">
        <f>HYPERLINK("https://znanium.com/catalog/product/2123840", "Ознакомиться")</f>
        <v>Ознакомиться</v>
      </c>
      <c r="W329" s="8"/>
      <c r="X329" s="6"/>
      <c r="Y329" s="6"/>
      <c r="Z329" s="6"/>
      <c r="AA329" s="6" t="s">
        <v>70</v>
      </c>
    </row>
    <row r="330" spans="1:27" s="4" customFormat="1" ht="42" customHeight="1">
      <c r="A330" s="5">
        <v>0</v>
      </c>
      <c r="B330" s="6" t="s">
        <v>2276</v>
      </c>
      <c r="C330" s="7">
        <v>1260</v>
      </c>
      <c r="D330" s="8" t="s">
        <v>2277</v>
      </c>
      <c r="E330" s="8" t="s">
        <v>2278</v>
      </c>
      <c r="F330" s="8" t="s">
        <v>2279</v>
      </c>
      <c r="G330" s="6" t="s">
        <v>37</v>
      </c>
      <c r="H330" s="6" t="s">
        <v>38</v>
      </c>
      <c r="I330" s="8" t="s">
        <v>39</v>
      </c>
      <c r="J330" s="9">
        <v>1</v>
      </c>
      <c r="K330" s="9">
        <v>300</v>
      </c>
      <c r="L330" s="9">
        <v>2022</v>
      </c>
      <c r="M330" s="8" t="s">
        <v>2280</v>
      </c>
      <c r="N330" s="8" t="s">
        <v>41</v>
      </c>
      <c r="O330" s="8" t="s">
        <v>42</v>
      </c>
      <c r="P330" s="6" t="s">
        <v>43</v>
      </c>
      <c r="Q330" s="8" t="s">
        <v>44</v>
      </c>
      <c r="R330" s="10" t="s">
        <v>1309</v>
      </c>
      <c r="S330" s="11"/>
      <c r="T330" s="6"/>
      <c r="U330" s="28" t="str">
        <f>HYPERLINK("https://media.infra-m.ru/1869/1869668/cover/1869668.jpg", "Обложка")</f>
        <v>Обложка</v>
      </c>
      <c r="V330" s="28" t="str">
        <f>HYPERLINK("https://znanium.com/catalog/product/1869668", "Ознакомиться")</f>
        <v>Ознакомиться</v>
      </c>
      <c r="W330" s="8" t="s">
        <v>2075</v>
      </c>
      <c r="X330" s="6"/>
      <c r="Y330" s="6"/>
      <c r="Z330" s="6"/>
      <c r="AA330" s="6" t="s">
        <v>193</v>
      </c>
    </row>
    <row r="331" spans="1:27" s="4" customFormat="1" ht="51.95" customHeight="1">
      <c r="A331" s="5">
        <v>0</v>
      </c>
      <c r="B331" s="6" t="s">
        <v>2281</v>
      </c>
      <c r="C331" s="7">
        <v>1524</v>
      </c>
      <c r="D331" s="8" t="s">
        <v>2282</v>
      </c>
      <c r="E331" s="8" t="s">
        <v>2283</v>
      </c>
      <c r="F331" s="8" t="s">
        <v>2284</v>
      </c>
      <c r="G331" s="6" t="s">
        <v>121</v>
      </c>
      <c r="H331" s="6" t="s">
        <v>38</v>
      </c>
      <c r="I331" s="8" t="s">
        <v>62</v>
      </c>
      <c r="J331" s="9">
        <v>1</v>
      </c>
      <c r="K331" s="9">
        <v>332</v>
      </c>
      <c r="L331" s="9">
        <v>2023</v>
      </c>
      <c r="M331" s="8" t="s">
        <v>2285</v>
      </c>
      <c r="N331" s="8" t="s">
        <v>41</v>
      </c>
      <c r="O331" s="8" t="s">
        <v>97</v>
      </c>
      <c r="P331" s="6" t="s">
        <v>65</v>
      </c>
      <c r="Q331" s="8" t="s">
        <v>66</v>
      </c>
      <c r="R331" s="10" t="s">
        <v>2286</v>
      </c>
      <c r="S331" s="11" t="s">
        <v>2287</v>
      </c>
      <c r="T331" s="6"/>
      <c r="U331" s="28" t="str">
        <f>HYPERLINK("https://media.infra-m.ru/2063/2063424/cover/2063424.jpg", "Обложка")</f>
        <v>Обложка</v>
      </c>
      <c r="V331" s="28" t="str">
        <f>HYPERLINK("https://znanium.com/catalog/product/1846460", "Ознакомиться")</f>
        <v>Ознакомиться</v>
      </c>
      <c r="W331" s="8" t="s">
        <v>2288</v>
      </c>
      <c r="X331" s="6"/>
      <c r="Y331" s="6"/>
      <c r="Z331" s="6"/>
      <c r="AA331" s="6" t="s">
        <v>57</v>
      </c>
    </row>
    <row r="332" spans="1:27" s="4" customFormat="1" ht="51.95" customHeight="1">
      <c r="A332" s="5">
        <v>0</v>
      </c>
      <c r="B332" s="6" t="s">
        <v>2289</v>
      </c>
      <c r="C332" s="7">
        <v>1054.9000000000001</v>
      </c>
      <c r="D332" s="8" t="s">
        <v>2290</v>
      </c>
      <c r="E332" s="8" t="s">
        <v>2291</v>
      </c>
      <c r="F332" s="8" t="s">
        <v>2292</v>
      </c>
      <c r="G332" s="6" t="s">
        <v>121</v>
      </c>
      <c r="H332" s="6" t="s">
        <v>38</v>
      </c>
      <c r="I332" s="8" t="s">
        <v>62</v>
      </c>
      <c r="J332" s="9">
        <v>1</v>
      </c>
      <c r="K332" s="9">
        <v>235</v>
      </c>
      <c r="L332" s="9">
        <v>2023</v>
      </c>
      <c r="M332" s="8" t="s">
        <v>2293</v>
      </c>
      <c r="N332" s="8" t="s">
        <v>41</v>
      </c>
      <c r="O332" s="8" t="s">
        <v>54</v>
      </c>
      <c r="P332" s="6" t="s">
        <v>65</v>
      </c>
      <c r="Q332" s="8" t="s">
        <v>66</v>
      </c>
      <c r="R332" s="10" t="s">
        <v>2294</v>
      </c>
      <c r="S332" s="11" t="s">
        <v>2295</v>
      </c>
      <c r="T332" s="6"/>
      <c r="U332" s="28" t="str">
        <f>HYPERLINK("https://media.infra-m.ru/1981/1981673/cover/1981673.jpg", "Обложка")</f>
        <v>Обложка</v>
      </c>
      <c r="V332" s="28" t="str">
        <f>HYPERLINK("https://znanium.com/catalog/product/1007536", "Ознакомиться")</f>
        <v>Ознакомиться</v>
      </c>
      <c r="W332" s="8" t="s">
        <v>549</v>
      </c>
      <c r="X332" s="6"/>
      <c r="Y332" s="6"/>
      <c r="Z332" s="6"/>
      <c r="AA332" s="6" t="s">
        <v>100</v>
      </c>
    </row>
    <row r="333" spans="1:27" s="4" customFormat="1" ht="51.95" customHeight="1">
      <c r="A333" s="5">
        <v>0</v>
      </c>
      <c r="B333" s="6" t="s">
        <v>2296</v>
      </c>
      <c r="C333" s="13">
        <v>844</v>
      </c>
      <c r="D333" s="8" t="s">
        <v>2297</v>
      </c>
      <c r="E333" s="8" t="s">
        <v>2298</v>
      </c>
      <c r="F333" s="8" t="s">
        <v>2292</v>
      </c>
      <c r="G333" s="6" t="s">
        <v>121</v>
      </c>
      <c r="H333" s="6" t="s">
        <v>38</v>
      </c>
      <c r="I333" s="8" t="s">
        <v>130</v>
      </c>
      <c r="J333" s="9">
        <v>1</v>
      </c>
      <c r="K333" s="9">
        <v>184</v>
      </c>
      <c r="L333" s="9">
        <v>2024</v>
      </c>
      <c r="M333" s="8" t="s">
        <v>2299</v>
      </c>
      <c r="N333" s="8" t="s">
        <v>41</v>
      </c>
      <c r="O333" s="8" t="s">
        <v>54</v>
      </c>
      <c r="P333" s="6" t="s">
        <v>65</v>
      </c>
      <c r="Q333" s="8" t="s">
        <v>66</v>
      </c>
      <c r="R333" s="10" t="s">
        <v>2300</v>
      </c>
      <c r="S333" s="11" t="s">
        <v>2295</v>
      </c>
      <c r="T333" s="6"/>
      <c r="U333" s="28" t="str">
        <f>HYPERLINK("https://media.infra-m.ru/2091/2091909/cover/2091909.jpg", "Обложка")</f>
        <v>Обложка</v>
      </c>
      <c r="V333" s="28" t="str">
        <f>HYPERLINK("https://znanium.com/catalog/product/1861975", "Ознакомиться")</f>
        <v>Ознакомиться</v>
      </c>
      <c r="W333" s="8" t="s">
        <v>549</v>
      </c>
      <c r="X333" s="6"/>
      <c r="Y333" s="6"/>
      <c r="Z333" s="6"/>
      <c r="AA333" s="6" t="s">
        <v>161</v>
      </c>
    </row>
    <row r="334" spans="1:27" s="4" customFormat="1" ht="51.95" customHeight="1">
      <c r="A334" s="5">
        <v>0</v>
      </c>
      <c r="B334" s="6" t="s">
        <v>2301</v>
      </c>
      <c r="C334" s="13">
        <v>520</v>
      </c>
      <c r="D334" s="8" t="s">
        <v>2302</v>
      </c>
      <c r="E334" s="8" t="s">
        <v>2303</v>
      </c>
      <c r="F334" s="8" t="s">
        <v>546</v>
      </c>
      <c r="G334" s="6" t="s">
        <v>37</v>
      </c>
      <c r="H334" s="6" t="s">
        <v>38</v>
      </c>
      <c r="I334" s="8" t="s">
        <v>62</v>
      </c>
      <c r="J334" s="9">
        <v>1</v>
      </c>
      <c r="K334" s="9">
        <v>117</v>
      </c>
      <c r="L334" s="9">
        <v>2022</v>
      </c>
      <c r="M334" s="8" t="s">
        <v>2304</v>
      </c>
      <c r="N334" s="8" t="s">
        <v>41</v>
      </c>
      <c r="O334" s="8" t="s">
        <v>54</v>
      </c>
      <c r="P334" s="6" t="s">
        <v>65</v>
      </c>
      <c r="Q334" s="8" t="s">
        <v>66</v>
      </c>
      <c r="R334" s="10" t="s">
        <v>2305</v>
      </c>
      <c r="S334" s="11" t="s">
        <v>2306</v>
      </c>
      <c r="T334" s="6"/>
      <c r="U334" s="28" t="str">
        <f>HYPERLINK("https://media.infra-m.ru/1862/1862666/cover/1862666.jpg", "Обложка")</f>
        <v>Обложка</v>
      </c>
      <c r="V334" s="28" t="str">
        <f>HYPERLINK("https://znanium.com/catalog/product/1862666", "Ознакомиться")</f>
        <v>Ознакомиться</v>
      </c>
      <c r="W334" s="8" t="s">
        <v>549</v>
      </c>
      <c r="X334" s="6"/>
      <c r="Y334" s="6"/>
      <c r="Z334" s="6"/>
      <c r="AA334" s="6" t="s">
        <v>135</v>
      </c>
    </row>
    <row r="335" spans="1:27" s="4" customFormat="1" ht="51.95" customHeight="1">
      <c r="A335" s="5">
        <v>0</v>
      </c>
      <c r="B335" s="6" t="s">
        <v>2307</v>
      </c>
      <c r="C335" s="7">
        <v>1100</v>
      </c>
      <c r="D335" s="8" t="s">
        <v>2308</v>
      </c>
      <c r="E335" s="8" t="s">
        <v>2309</v>
      </c>
      <c r="F335" s="8" t="s">
        <v>546</v>
      </c>
      <c r="G335" s="6" t="s">
        <v>37</v>
      </c>
      <c r="H335" s="6" t="s">
        <v>38</v>
      </c>
      <c r="I335" s="8" t="s">
        <v>62</v>
      </c>
      <c r="J335" s="9">
        <v>1</v>
      </c>
      <c r="K335" s="9">
        <v>220</v>
      </c>
      <c r="L335" s="9">
        <v>2022</v>
      </c>
      <c r="M335" s="8" t="s">
        <v>2310</v>
      </c>
      <c r="N335" s="8" t="s">
        <v>41</v>
      </c>
      <c r="O335" s="8" t="s">
        <v>54</v>
      </c>
      <c r="P335" s="6" t="s">
        <v>65</v>
      </c>
      <c r="Q335" s="8" t="s">
        <v>66</v>
      </c>
      <c r="R335" s="10" t="s">
        <v>2305</v>
      </c>
      <c r="S335" s="11" t="s">
        <v>2311</v>
      </c>
      <c r="T335" s="6"/>
      <c r="U335" s="28" t="str">
        <f>HYPERLINK("https://media.infra-m.ru/1947/1947418/cover/1947418.jpg", "Обложка")</f>
        <v>Обложка</v>
      </c>
      <c r="V335" s="28" t="str">
        <f>HYPERLINK("https://znanium.com/catalog/product/1196545", "Ознакомиться")</f>
        <v>Ознакомиться</v>
      </c>
      <c r="W335" s="8" t="s">
        <v>549</v>
      </c>
      <c r="X335" s="6"/>
      <c r="Y335" s="6"/>
      <c r="Z335" s="6"/>
      <c r="AA335" s="6" t="s">
        <v>78</v>
      </c>
    </row>
    <row r="336" spans="1:27" s="4" customFormat="1" ht="44.1" customHeight="1">
      <c r="A336" s="5">
        <v>0</v>
      </c>
      <c r="B336" s="6" t="s">
        <v>2312</v>
      </c>
      <c r="C336" s="13">
        <v>690</v>
      </c>
      <c r="D336" s="8" t="s">
        <v>2313</v>
      </c>
      <c r="E336" s="8" t="s">
        <v>2314</v>
      </c>
      <c r="F336" s="8" t="s">
        <v>546</v>
      </c>
      <c r="G336" s="6" t="s">
        <v>121</v>
      </c>
      <c r="H336" s="6" t="s">
        <v>38</v>
      </c>
      <c r="I336" s="8" t="s">
        <v>130</v>
      </c>
      <c r="J336" s="9">
        <v>1</v>
      </c>
      <c r="K336" s="9">
        <v>131</v>
      </c>
      <c r="L336" s="9">
        <v>2023</v>
      </c>
      <c r="M336" s="8" t="s">
        <v>2315</v>
      </c>
      <c r="N336" s="8" t="s">
        <v>41</v>
      </c>
      <c r="O336" s="8" t="s">
        <v>54</v>
      </c>
      <c r="P336" s="6" t="s">
        <v>65</v>
      </c>
      <c r="Q336" s="8" t="s">
        <v>132</v>
      </c>
      <c r="R336" s="10" t="s">
        <v>2316</v>
      </c>
      <c r="S336" s="11"/>
      <c r="T336" s="6"/>
      <c r="U336" s="28" t="str">
        <f>HYPERLINK("https://media.infra-m.ru/1989/1989227/cover/1989227.jpg", "Обложка")</f>
        <v>Обложка</v>
      </c>
      <c r="V336" s="28" t="str">
        <f>HYPERLINK("https://znanium.com/catalog/product/1989227", "Ознакомиться")</f>
        <v>Ознакомиться</v>
      </c>
      <c r="W336" s="8" t="s">
        <v>549</v>
      </c>
      <c r="X336" s="6" t="s">
        <v>381</v>
      </c>
      <c r="Y336" s="6"/>
      <c r="Z336" s="6"/>
      <c r="AA336" s="6" t="s">
        <v>574</v>
      </c>
    </row>
    <row r="337" spans="1:27" s="4" customFormat="1" ht="51.95" customHeight="1">
      <c r="A337" s="5">
        <v>0</v>
      </c>
      <c r="B337" s="6" t="s">
        <v>2317</v>
      </c>
      <c r="C337" s="13">
        <v>764.9</v>
      </c>
      <c r="D337" s="8" t="s">
        <v>2318</v>
      </c>
      <c r="E337" s="8" t="s">
        <v>2319</v>
      </c>
      <c r="F337" s="8" t="s">
        <v>546</v>
      </c>
      <c r="G337" s="6" t="s">
        <v>121</v>
      </c>
      <c r="H337" s="6" t="s">
        <v>38</v>
      </c>
      <c r="I337" s="8" t="s">
        <v>187</v>
      </c>
      <c r="J337" s="9">
        <v>1</v>
      </c>
      <c r="K337" s="9">
        <v>148</v>
      </c>
      <c r="L337" s="9">
        <v>2022</v>
      </c>
      <c r="M337" s="8" t="s">
        <v>2320</v>
      </c>
      <c r="N337" s="8" t="s">
        <v>41</v>
      </c>
      <c r="O337" s="8" t="s">
        <v>54</v>
      </c>
      <c r="P337" s="6" t="s">
        <v>65</v>
      </c>
      <c r="Q337" s="8" t="s">
        <v>189</v>
      </c>
      <c r="R337" s="10" t="s">
        <v>2321</v>
      </c>
      <c r="S337" s="11" t="s">
        <v>2322</v>
      </c>
      <c r="T337" s="6"/>
      <c r="U337" s="28" t="str">
        <f>HYPERLINK("https://media.infra-m.ru/1904/1904395/cover/1904395.jpg", "Обложка")</f>
        <v>Обложка</v>
      </c>
      <c r="V337" s="28" t="str">
        <f>HYPERLINK("https://znanium.com/catalog/product/1874093", "Ознакомиться")</f>
        <v>Ознакомиться</v>
      </c>
      <c r="W337" s="8" t="s">
        <v>549</v>
      </c>
      <c r="X337" s="6"/>
      <c r="Y337" s="6"/>
      <c r="Z337" s="6"/>
      <c r="AA337" s="6" t="s">
        <v>78</v>
      </c>
    </row>
    <row r="338" spans="1:27" s="4" customFormat="1" ht="51.95" customHeight="1">
      <c r="A338" s="5">
        <v>0</v>
      </c>
      <c r="B338" s="6" t="s">
        <v>2323</v>
      </c>
      <c r="C338" s="13">
        <v>800</v>
      </c>
      <c r="D338" s="8" t="s">
        <v>2324</v>
      </c>
      <c r="E338" s="8" t="s">
        <v>2325</v>
      </c>
      <c r="F338" s="8" t="s">
        <v>2326</v>
      </c>
      <c r="G338" s="6" t="s">
        <v>37</v>
      </c>
      <c r="H338" s="6" t="s">
        <v>554</v>
      </c>
      <c r="I338" s="8" t="s">
        <v>130</v>
      </c>
      <c r="J338" s="9">
        <v>1</v>
      </c>
      <c r="K338" s="9">
        <v>172</v>
      </c>
      <c r="L338" s="9">
        <v>2024</v>
      </c>
      <c r="M338" s="8" t="s">
        <v>2327</v>
      </c>
      <c r="N338" s="8" t="s">
        <v>41</v>
      </c>
      <c r="O338" s="8" t="s">
        <v>54</v>
      </c>
      <c r="P338" s="6" t="s">
        <v>65</v>
      </c>
      <c r="Q338" s="8" t="s">
        <v>66</v>
      </c>
      <c r="R338" s="10" t="s">
        <v>2328</v>
      </c>
      <c r="S338" s="11" t="s">
        <v>2329</v>
      </c>
      <c r="T338" s="6"/>
      <c r="U338" s="28" t="str">
        <f>HYPERLINK("https://media.infra-m.ru/2117/2117179/cover/2117179.jpg", "Обложка")</f>
        <v>Обложка</v>
      </c>
      <c r="V338" s="28" t="str">
        <f>HYPERLINK("https://znanium.com/catalog/product/1834640", "Ознакомиться")</f>
        <v>Ознакомиться</v>
      </c>
      <c r="W338" s="8" t="s">
        <v>620</v>
      </c>
      <c r="X338" s="6"/>
      <c r="Y338" s="6"/>
      <c r="Z338" s="6"/>
      <c r="AA338" s="6" t="s">
        <v>1436</v>
      </c>
    </row>
    <row r="339" spans="1:27" s="4" customFormat="1" ht="51.95" customHeight="1">
      <c r="A339" s="5">
        <v>0</v>
      </c>
      <c r="B339" s="6" t="s">
        <v>2330</v>
      </c>
      <c r="C339" s="13">
        <v>574.4</v>
      </c>
      <c r="D339" s="8" t="s">
        <v>2331</v>
      </c>
      <c r="E339" s="8" t="s">
        <v>2325</v>
      </c>
      <c r="F339" s="8" t="s">
        <v>2332</v>
      </c>
      <c r="G339" s="6" t="s">
        <v>121</v>
      </c>
      <c r="H339" s="6" t="s">
        <v>38</v>
      </c>
      <c r="I339" s="8" t="s">
        <v>187</v>
      </c>
      <c r="J339" s="9">
        <v>1</v>
      </c>
      <c r="K339" s="9">
        <v>172</v>
      </c>
      <c r="L339" s="9">
        <v>2019</v>
      </c>
      <c r="M339" s="8" t="s">
        <v>2333</v>
      </c>
      <c r="N339" s="8" t="s">
        <v>41</v>
      </c>
      <c r="O339" s="8" t="s">
        <v>54</v>
      </c>
      <c r="P339" s="6" t="s">
        <v>65</v>
      </c>
      <c r="Q339" s="8" t="s">
        <v>189</v>
      </c>
      <c r="R339" s="10" t="s">
        <v>2334</v>
      </c>
      <c r="S339" s="11" t="s">
        <v>2335</v>
      </c>
      <c r="T339" s="6"/>
      <c r="U339" s="28" t="str">
        <f>HYPERLINK("https://media.infra-m.ru/2081/2081989/cover/2081989.jpg", "Обложка")</f>
        <v>Обложка</v>
      </c>
      <c r="V339" s="28" t="str">
        <f>HYPERLINK("https://znanium.com/catalog/product/1971060", "Ознакомиться")</f>
        <v>Ознакомиться</v>
      </c>
      <c r="W339" s="8" t="s">
        <v>620</v>
      </c>
      <c r="X339" s="6"/>
      <c r="Y339" s="6"/>
      <c r="Z339" s="6" t="s">
        <v>192</v>
      </c>
      <c r="AA339" s="6" t="s">
        <v>1324</v>
      </c>
    </row>
    <row r="340" spans="1:27" s="4" customFormat="1" ht="51.95" customHeight="1">
      <c r="A340" s="5">
        <v>0</v>
      </c>
      <c r="B340" s="6" t="s">
        <v>2336</v>
      </c>
      <c r="C340" s="7">
        <v>1500</v>
      </c>
      <c r="D340" s="8" t="s">
        <v>2337</v>
      </c>
      <c r="E340" s="8" t="s">
        <v>2338</v>
      </c>
      <c r="F340" s="8" t="s">
        <v>546</v>
      </c>
      <c r="G340" s="6" t="s">
        <v>121</v>
      </c>
      <c r="H340" s="6" t="s">
        <v>38</v>
      </c>
      <c r="I340" s="8" t="s">
        <v>187</v>
      </c>
      <c r="J340" s="9">
        <v>1</v>
      </c>
      <c r="K340" s="9">
        <v>332</v>
      </c>
      <c r="L340" s="9">
        <v>2022</v>
      </c>
      <c r="M340" s="8" t="s">
        <v>2339</v>
      </c>
      <c r="N340" s="8" t="s">
        <v>41</v>
      </c>
      <c r="O340" s="8" t="s">
        <v>54</v>
      </c>
      <c r="P340" s="6" t="s">
        <v>85</v>
      </c>
      <c r="Q340" s="8" t="s">
        <v>189</v>
      </c>
      <c r="R340" s="10" t="s">
        <v>2340</v>
      </c>
      <c r="S340" s="11" t="s">
        <v>2341</v>
      </c>
      <c r="T340" s="6"/>
      <c r="U340" s="28" t="str">
        <f>HYPERLINK("https://media.infra-m.ru/1874/1874094/cover/1874094.jpg", "Обложка")</f>
        <v>Обложка</v>
      </c>
      <c r="V340" s="28" t="str">
        <f>HYPERLINK("https://znanium.com/catalog/product/1874094", "Ознакомиться")</f>
        <v>Ознакомиться</v>
      </c>
      <c r="W340" s="8" t="s">
        <v>549</v>
      </c>
      <c r="X340" s="6"/>
      <c r="Y340" s="6"/>
      <c r="Z340" s="6"/>
      <c r="AA340" s="6" t="s">
        <v>78</v>
      </c>
    </row>
    <row r="341" spans="1:27" s="4" customFormat="1" ht="51.95" customHeight="1">
      <c r="A341" s="5">
        <v>0</v>
      </c>
      <c r="B341" s="6" t="s">
        <v>2342</v>
      </c>
      <c r="C341" s="7">
        <v>1670</v>
      </c>
      <c r="D341" s="8" t="s">
        <v>2343</v>
      </c>
      <c r="E341" s="8" t="s">
        <v>2344</v>
      </c>
      <c r="F341" s="8" t="s">
        <v>2332</v>
      </c>
      <c r="G341" s="6" t="s">
        <v>37</v>
      </c>
      <c r="H341" s="6" t="s">
        <v>38</v>
      </c>
      <c r="I341" s="8" t="s">
        <v>62</v>
      </c>
      <c r="J341" s="9">
        <v>1</v>
      </c>
      <c r="K341" s="9">
        <v>285</v>
      </c>
      <c r="L341" s="9">
        <v>2023</v>
      </c>
      <c r="M341" s="8" t="s">
        <v>2345</v>
      </c>
      <c r="N341" s="8" t="s">
        <v>41</v>
      </c>
      <c r="O341" s="8" t="s">
        <v>54</v>
      </c>
      <c r="P341" s="6" t="s">
        <v>85</v>
      </c>
      <c r="Q341" s="8" t="s">
        <v>66</v>
      </c>
      <c r="R341" s="10" t="s">
        <v>2346</v>
      </c>
      <c r="S341" s="11" t="s">
        <v>2347</v>
      </c>
      <c r="T341" s="6"/>
      <c r="U341" s="28" t="str">
        <f>HYPERLINK("https://media.infra-m.ru/1915/1915469/cover/1915469.jpg", "Обложка")</f>
        <v>Обложка</v>
      </c>
      <c r="V341" s="28" t="str">
        <f>HYPERLINK("https://znanium.com/catalog/product/1915469", "Ознакомиться")</f>
        <v>Ознакомиться</v>
      </c>
      <c r="W341" s="8" t="s">
        <v>620</v>
      </c>
      <c r="X341" s="6"/>
      <c r="Y341" s="6"/>
      <c r="Z341" s="6"/>
      <c r="AA341" s="6" t="s">
        <v>2348</v>
      </c>
    </row>
    <row r="342" spans="1:27" s="4" customFormat="1" ht="51.95" customHeight="1">
      <c r="A342" s="5">
        <v>0</v>
      </c>
      <c r="B342" s="6" t="s">
        <v>2349</v>
      </c>
      <c r="C342" s="13">
        <v>604.9</v>
      </c>
      <c r="D342" s="8" t="s">
        <v>2350</v>
      </c>
      <c r="E342" s="8" t="s">
        <v>2344</v>
      </c>
      <c r="F342" s="8" t="s">
        <v>2351</v>
      </c>
      <c r="G342" s="6" t="s">
        <v>52</v>
      </c>
      <c r="H342" s="6" t="s">
        <v>38</v>
      </c>
      <c r="I342" s="8" t="s">
        <v>2029</v>
      </c>
      <c r="J342" s="9">
        <v>1</v>
      </c>
      <c r="K342" s="9">
        <v>144</v>
      </c>
      <c r="L342" s="9">
        <v>2022</v>
      </c>
      <c r="M342" s="8" t="s">
        <v>2352</v>
      </c>
      <c r="N342" s="8" t="s">
        <v>41</v>
      </c>
      <c r="O342" s="8" t="s">
        <v>54</v>
      </c>
      <c r="P342" s="6" t="s">
        <v>65</v>
      </c>
      <c r="Q342" s="8" t="s">
        <v>66</v>
      </c>
      <c r="R342" s="10" t="s">
        <v>2353</v>
      </c>
      <c r="S342" s="11" t="s">
        <v>2354</v>
      </c>
      <c r="T342" s="6"/>
      <c r="U342" s="28" t="str">
        <f>HYPERLINK("https://media.infra-m.ru/1873/1873267/cover/1873267.jpg", "Обложка")</f>
        <v>Обложка</v>
      </c>
      <c r="V342" s="12"/>
      <c r="W342" s="8" t="s">
        <v>463</v>
      </c>
      <c r="X342" s="6"/>
      <c r="Y342" s="6"/>
      <c r="Z342" s="6"/>
      <c r="AA342" s="6" t="s">
        <v>2355</v>
      </c>
    </row>
    <row r="343" spans="1:27" s="4" customFormat="1" ht="51.95" customHeight="1">
      <c r="A343" s="5">
        <v>0</v>
      </c>
      <c r="B343" s="6" t="s">
        <v>2356</v>
      </c>
      <c r="C343" s="7">
        <v>1120</v>
      </c>
      <c r="D343" s="8" t="s">
        <v>2357</v>
      </c>
      <c r="E343" s="8" t="s">
        <v>2338</v>
      </c>
      <c r="F343" s="8" t="s">
        <v>2358</v>
      </c>
      <c r="G343" s="6" t="s">
        <v>37</v>
      </c>
      <c r="H343" s="6" t="s">
        <v>38</v>
      </c>
      <c r="I343" s="8" t="s">
        <v>130</v>
      </c>
      <c r="J343" s="9">
        <v>1</v>
      </c>
      <c r="K343" s="9">
        <v>248</v>
      </c>
      <c r="L343" s="9">
        <v>2023</v>
      </c>
      <c r="M343" s="8" t="s">
        <v>2359</v>
      </c>
      <c r="N343" s="8" t="s">
        <v>41</v>
      </c>
      <c r="O343" s="8" t="s">
        <v>54</v>
      </c>
      <c r="P343" s="6" t="s">
        <v>65</v>
      </c>
      <c r="Q343" s="8" t="s">
        <v>132</v>
      </c>
      <c r="R343" s="10" t="s">
        <v>2346</v>
      </c>
      <c r="S343" s="11" t="s">
        <v>2360</v>
      </c>
      <c r="T343" s="6"/>
      <c r="U343" s="28" t="str">
        <f>HYPERLINK("https://media.infra-m.ru/2004/2004443/cover/2004443.jpg", "Обложка")</f>
        <v>Обложка</v>
      </c>
      <c r="V343" s="28" t="str">
        <f>HYPERLINK("https://znanium.com/catalog/product/2004443", "Ознакомиться")</f>
        <v>Ознакомиться</v>
      </c>
      <c r="W343" s="8" t="s">
        <v>359</v>
      </c>
      <c r="X343" s="6"/>
      <c r="Y343" s="6"/>
      <c r="Z343" s="6"/>
      <c r="AA343" s="6" t="s">
        <v>161</v>
      </c>
    </row>
    <row r="344" spans="1:27" s="4" customFormat="1" ht="44.1" customHeight="1">
      <c r="A344" s="5">
        <v>0</v>
      </c>
      <c r="B344" s="6" t="s">
        <v>2361</v>
      </c>
      <c r="C344" s="13">
        <v>999.9</v>
      </c>
      <c r="D344" s="8" t="s">
        <v>2362</v>
      </c>
      <c r="E344" s="8" t="s">
        <v>2363</v>
      </c>
      <c r="F344" s="8" t="s">
        <v>2364</v>
      </c>
      <c r="G344" s="6" t="s">
        <v>26</v>
      </c>
      <c r="H344" s="6" t="s">
        <v>264</v>
      </c>
      <c r="I344" s="8" t="s">
        <v>959</v>
      </c>
      <c r="J344" s="9">
        <v>16</v>
      </c>
      <c r="K344" s="9">
        <v>320</v>
      </c>
      <c r="L344" s="9">
        <v>2016</v>
      </c>
      <c r="M344" s="8" t="s">
        <v>2365</v>
      </c>
      <c r="N344" s="8" t="s">
        <v>41</v>
      </c>
      <c r="O344" s="8" t="s">
        <v>64</v>
      </c>
      <c r="P344" s="6" t="s">
        <v>43</v>
      </c>
      <c r="Q344" s="8" t="s">
        <v>961</v>
      </c>
      <c r="R344" s="10" t="s">
        <v>2366</v>
      </c>
      <c r="S344" s="11"/>
      <c r="T344" s="6"/>
      <c r="U344" s="28" t="str">
        <f>HYPERLINK("https://media.infra-m.ru/0524/0524521/cover/524521.jpg", "Обложка")</f>
        <v>Обложка</v>
      </c>
      <c r="V344" s="28" t="str">
        <f>HYPERLINK("https://znanium.com/catalog/product/524521", "Ознакомиться")</f>
        <v>Ознакомиться</v>
      </c>
      <c r="W344" s="8" t="s">
        <v>963</v>
      </c>
      <c r="X344" s="6"/>
      <c r="Y344" s="6"/>
      <c r="Z344" s="6"/>
      <c r="AA344" s="6" t="s">
        <v>70</v>
      </c>
    </row>
    <row r="345" spans="1:27" s="4" customFormat="1" ht="42" customHeight="1">
      <c r="A345" s="5">
        <v>0</v>
      </c>
      <c r="B345" s="6" t="s">
        <v>2367</v>
      </c>
      <c r="C345" s="13">
        <v>870</v>
      </c>
      <c r="D345" s="8" t="s">
        <v>2368</v>
      </c>
      <c r="E345" s="8" t="s">
        <v>2369</v>
      </c>
      <c r="F345" s="8" t="s">
        <v>2370</v>
      </c>
      <c r="G345" s="6" t="s">
        <v>52</v>
      </c>
      <c r="H345" s="6" t="s">
        <v>38</v>
      </c>
      <c r="I345" s="8" t="s">
        <v>1102</v>
      </c>
      <c r="J345" s="9">
        <v>1</v>
      </c>
      <c r="K345" s="9">
        <v>188</v>
      </c>
      <c r="L345" s="9">
        <v>2024</v>
      </c>
      <c r="M345" s="8" t="s">
        <v>2371</v>
      </c>
      <c r="N345" s="8" t="s">
        <v>41</v>
      </c>
      <c r="O345" s="8" t="s">
        <v>97</v>
      </c>
      <c r="P345" s="6" t="s">
        <v>43</v>
      </c>
      <c r="Q345" s="8" t="s">
        <v>44</v>
      </c>
      <c r="R345" s="10" t="s">
        <v>2275</v>
      </c>
      <c r="S345" s="11"/>
      <c r="T345" s="6"/>
      <c r="U345" s="28" t="str">
        <f>HYPERLINK("https://media.infra-m.ru/2075/2075124/cover/2075124.jpg", "Обложка")</f>
        <v>Обложка</v>
      </c>
      <c r="V345" s="12"/>
      <c r="W345" s="8" t="s">
        <v>463</v>
      </c>
      <c r="X345" s="6"/>
      <c r="Y345" s="6"/>
      <c r="Z345" s="6"/>
      <c r="AA345" s="6" t="s">
        <v>91</v>
      </c>
    </row>
    <row r="346" spans="1:27" s="4" customFormat="1" ht="44.1" customHeight="1">
      <c r="A346" s="5">
        <v>0</v>
      </c>
      <c r="B346" s="6" t="s">
        <v>2372</v>
      </c>
      <c r="C346" s="13">
        <v>504.9</v>
      </c>
      <c r="D346" s="8" t="s">
        <v>2373</v>
      </c>
      <c r="E346" s="8" t="s">
        <v>2374</v>
      </c>
      <c r="F346" s="8" t="s">
        <v>2375</v>
      </c>
      <c r="G346" s="6" t="s">
        <v>52</v>
      </c>
      <c r="H346" s="6" t="s">
        <v>264</v>
      </c>
      <c r="I346" s="8"/>
      <c r="J346" s="9">
        <v>1</v>
      </c>
      <c r="K346" s="9">
        <v>112</v>
      </c>
      <c r="L346" s="9">
        <v>2023</v>
      </c>
      <c r="M346" s="8" t="s">
        <v>2376</v>
      </c>
      <c r="N346" s="8" t="s">
        <v>41</v>
      </c>
      <c r="O346" s="8" t="s">
        <v>54</v>
      </c>
      <c r="P346" s="6" t="s">
        <v>65</v>
      </c>
      <c r="Q346" s="8" t="s">
        <v>66</v>
      </c>
      <c r="R346" s="10" t="s">
        <v>2377</v>
      </c>
      <c r="S346" s="11"/>
      <c r="T346" s="6"/>
      <c r="U346" s="28" t="str">
        <f>HYPERLINK("https://media.infra-m.ru/2044/2044339/cover/2044339.jpg", "Обложка")</f>
        <v>Обложка</v>
      </c>
      <c r="V346" s="28" t="str">
        <f>HYPERLINK("https://znanium.com/catalog/product/915106", "Ознакомиться")</f>
        <v>Ознакомиться</v>
      </c>
      <c r="W346" s="8" t="s">
        <v>691</v>
      </c>
      <c r="X346" s="6"/>
      <c r="Y346" s="6"/>
      <c r="Z346" s="6"/>
      <c r="AA346" s="6" t="s">
        <v>161</v>
      </c>
    </row>
    <row r="347" spans="1:27" s="4" customFormat="1" ht="51.95" customHeight="1">
      <c r="A347" s="5">
        <v>0</v>
      </c>
      <c r="B347" s="6" t="s">
        <v>2378</v>
      </c>
      <c r="C347" s="13">
        <v>694</v>
      </c>
      <c r="D347" s="8" t="s">
        <v>2379</v>
      </c>
      <c r="E347" s="8" t="s">
        <v>2380</v>
      </c>
      <c r="F347" s="8" t="s">
        <v>2381</v>
      </c>
      <c r="G347" s="6" t="s">
        <v>52</v>
      </c>
      <c r="H347" s="6" t="s">
        <v>317</v>
      </c>
      <c r="I347" s="8"/>
      <c r="J347" s="9">
        <v>1</v>
      </c>
      <c r="K347" s="9">
        <v>256</v>
      </c>
      <c r="L347" s="9">
        <v>2024</v>
      </c>
      <c r="M347" s="8" t="s">
        <v>2382</v>
      </c>
      <c r="N347" s="8" t="s">
        <v>41</v>
      </c>
      <c r="O347" s="8" t="s">
        <v>97</v>
      </c>
      <c r="P347" s="6" t="s">
        <v>65</v>
      </c>
      <c r="Q347" s="8" t="s">
        <v>66</v>
      </c>
      <c r="R347" s="10" t="s">
        <v>2383</v>
      </c>
      <c r="S347" s="11"/>
      <c r="T347" s="6"/>
      <c r="U347" s="28" t="str">
        <f>HYPERLINK("https://media.infra-m.ru/1915/1915927/cover/1915927.jpg", "Обложка")</f>
        <v>Обложка</v>
      </c>
      <c r="V347" s="28" t="str">
        <f>HYPERLINK("https://znanium.com/catalog/product/1026945", "Ознакомиться")</f>
        <v>Ознакомиться</v>
      </c>
      <c r="W347" s="8" t="s">
        <v>2384</v>
      </c>
      <c r="X347" s="6"/>
      <c r="Y347" s="6" t="s">
        <v>30</v>
      </c>
      <c r="Z347" s="6"/>
      <c r="AA347" s="6" t="s">
        <v>100</v>
      </c>
    </row>
    <row r="348" spans="1:27" s="4" customFormat="1" ht="51.95" customHeight="1">
      <c r="A348" s="5">
        <v>0</v>
      </c>
      <c r="B348" s="6" t="s">
        <v>2385</v>
      </c>
      <c r="C348" s="7">
        <v>1600</v>
      </c>
      <c r="D348" s="8" t="s">
        <v>2386</v>
      </c>
      <c r="E348" s="8" t="s">
        <v>2387</v>
      </c>
      <c r="F348" s="8" t="s">
        <v>2388</v>
      </c>
      <c r="G348" s="6" t="s">
        <v>121</v>
      </c>
      <c r="H348" s="6" t="s">
        <v>38</v>
      </c>
      <c r="I348" s="8" t="s">
        <v>62</v>
      </c>
      <c r="J348" s="9">
        <v>1</v>
      </c>
      <c r="K348" s="9">
        <v>348</v>
      </c>
      <c r="L348" s="9">
        <v>2023</v>
      </c>
      <c r="M348" s="8" t="s">
        <v>2389</v>
      </c>
      <c r="N348" s="8" t="s">
        <v>41</v>
      </c>
      <c r="O348" s="8" t="s">
        <v>97</v>
      </c>
      <c r="P348" s="6" t="s">
        <v>85</v>
      </c>
      <c r="Q348" s="8" t="s">
        <v>66</v>
      </c>
      <c r="R348" s="10" t="s">
        <v>2390</v>
      </c>
      <c r="S348" s="11" t="s">
        <v>2391</v>
      </c>
      <c r="T348" s="6" t="s">
        <v>89</v>
      </c>
      <c r="U348" s="28" t="str">
        <f>HYPERLINK("https://media.infra-m.ru/1860/1860987/cover/1860987.jpg", "Обложка")</f>
        <v>Обложка</v>
      </c>
      <c r="V348" s="28" t="str">
        <f>HYPERLINK("https://znanium.com/catalog/product/1860987", "Ознакомиться")</f>
        <v>Ознакомиться</v>
      </c>
      <c r="W348" s="8" t="s">
        <v>339</v>
      </c>
      <c r="X348" s="6" t="s">
        <v>628</v>
      </c>
      <c r="Y348" s="6"/>
      <c r="Z348" s="6"/>
      <c r="AA348" s="6" t="s">
        <v>382</v>
      </c>
    </row>
    <row r="349" spans="1:27" s="4" customFormat="1" ht="51.95" customHeight="1">
      <c r="A349" s="5">
        <v>0</v>
      </c>
      <c r="B349" s="6" t="s">
        <v>2392</v>
      </c>
      <c r="C349" s="7">
        <v>1350</v>
      </c>
      <c r="D349" s="8" t="s">
        <v>2393</v>
      </c>
      <c r="E349" s="8" t="s">
        <v>2394</v>
      </c>
      <c r="F349" s="8" t="s">
        <v>2395</v>
      </c>
      <c r="G349" s="6" t="s">
        <v>37</v>
      </c>
      <c r="H349" s="6" t="s">
        <v>38</v>
      </c>
      <c r="I349" s="8" t="s">
        <v>62</v>
      </c>
      <c r="J349" s="9">
        <v>1</v>
      </c>
      <c r="K349" s="9">
        <v>336</v>
      </c>
      <c r="L349" s="9">
        <v>2022</v>
      </c>
      <c r="M349" s="8" t="s">
        <v>2396</v>
      </c>
      <c r="N349" s="8" t="s">
        <v>41</v>
      </c>
      <c r="O349" s="8" t="s">
        <v>97</v>
      </c>
      <c r="P349" s="6" t="s">
        <v>85</v>
      </c>
      <c r="Q349" s="8" t="s">
        <v>66</v>
      </c>
      <c r="R349" s="10" t="s">
        <v>2390</v>
      </c>
      <c r="S349" s="11" t="s">
        <v>2397</v>
      </c>
      <c r="T349" s="6" t="s">
        <v>89</v>
      </c>
      <c r="U349" s="28" t="str">
        <f>HYPERLINK("https://media.infra-m.ru/1857/1857944/cover/1857944.jpg", "Обложка")</f>
        <v>Обложка</v>
      </c>
      <c r="V349" s="28" t="str">
        <f>HYPERLINK("https://znanium.com/catalog/product/1860987", "Ознакомиться")</f>
        <v>Ознакомиться</v>
      </c>
      <c r="W349" s="8" t="s">
        <v>339</v>
      </c>
      <c r="X349" s="6"/>
      <c r="Y349" s="6"/>
      <c r="Z349" s="6"/>
      <c r="AA349" s="6" t="s">
        <v>320</v>
      </c>
    </row>
    <row r="350" spans="1:27" s="4" customFormat="1" ht="51.95" customHeight="1">
      <c r="A350" s="5">
        <v>0</v>
      </c>
      <c r="B350" s="6" t="s">
        <v>2398</v>
      </c>
      <c r="C350" s="7">
        <v>1514.9</v>
      </c>
      <c r="D350" s="8" t="s">
        <v>2399</v>
      </c>
      <c r="E350" s="8" t="s">
        <v>2394</v>
      </c>
      <c r="F350" s="8" t="s">
        <v>2400</v>
      </c>
      <c r="G350" s="6" t="s">
        <v>121</v>
      </c>
      <c r="H350" s="6" t="s">
        <v>2037</v>
      </c>
      <c r="I350" s="8" t="s">
        <v>2401</v>
      </c>
      <c r="J350" s="9">
        <v>1</v>
      </c>
      <c r="K350" s="9">
        <v>336</v>
      </c>
      <c r="L350" s="9">
        <v>2023</v>
      </c>
      <c r="M350" s="8" t="s">
        <v>2402</v>
      </c>
      <c r="N350" s="8" t="s">
        <v>41</v>
      </c>
      <c r="O350" s="8" t="s">
        <v>97</v>
      </c>
      <c r="P350" s="6" t="s">
        <v>65</v>
      </c>
      <c r="Q350" s="8" t="s">
        <v>189</v>
      </c>
      <c r="R350" s="10" t="s">
        <v>2403</v>
      </c>
      <c r="S350" s="11" t="s">
        <v>2404</v>
      </c>
      <c r="T350" s="6"/>
      <c r="U350" s="28" t="str">
        <f>HYPERLINK("https://media.infra-m.ru/1915/1915929/cover/1915929.jpg", "Обложка")</f>
        <v>Обложка</v>
      </c>
      <c r="V350" s="28" t="str">
        <f>HYPERLINK("https://znanium.com/catalog/product/1362442", "Ознакомиться")</f>
        <v>Ознакомиться</v>
      </c>
      <c r="W350" s="8" t="s">
        <v>313</v>
      </c>
      <c r="X350" s="6"/>
      <c r="Y350" s="6" t="s">
        <v>30</v>
      </c>
      <c r="Z350" s="6"/>
      <c r="AA350" s="6" t="s">
        <v>202</v>
      </c>
    </row>
    <row r="351" spans="1:27" s="4" customFormat="1" ht="51.95" customHeight="1">
      <c r="A351" s="5">
        <v>0</v>
      </c>
      <c r="B351" s="6" t="s">
        <v>2405</v>
      </c>
      <c r="C351" s="13">
        <v>89.9</v>
      </c>
      <c r="D351" s="8" t="s">
        <v>2406</v>
      </c>
      <c r="E351" s="8" t="s">
        <v>2394</v>
      </c>
      <c r="F351" s="8" t="s">
        <v>2407</v>
      </c>
      <c r="G351" s="6" t="s">
        <v>52</v>
      </c>
      <c r="H351" s="6" t="s">
        <v>122</v>
      </c>
      <c r="I351" s="8" t="s">
        <v>2408</v>
      </c>
      <c r="J351" s="9">
        <v>80</v>
      </c>
      <c r="K351" s="9">
        <v>160</v>
      </c>
      <c r="L351" s="9">
        <v>2017</v>
      </c>
      <c r="M351" s="8" t="s">
        <v>2409</v>
      </c>
      <c r="N351" s="8" t="s">
        <v>41</v>
      </c>
      <c r="O351" s="8" t="s">
        <v>97</v>
      </c>
      <c r="P351" s="6" t="s">
        <v>199</v>
      </c>
      <c r="Q351" s="8" t="s">
        <v>66</v>
      </c>
      <c r="R351" s="10" t="s">
        <v>2410</v>
      </c>
      <c r="S351" s="11"/>
      <c r="T351" s="6"/>
      <c r="U351" s="28" t="str">
        <f>HYPERLINK("https://media.infra-m.ru/0773/0773830/cover/773830.jpg", "Обложка")</f>
        <v>Обложка</v>
      </c>
      <c r="V351" s="28" t="str">
        <f>HYPERLINK("https://znanium.com/catalog/product/773830", "Ознакомиться")</f>
        <v>Ознакомиться</v>
      </c>
      <c r="W351" s="8"/>
      <c r="X351" s="6"/>
      <c r="Y351" s="6"/>
      <c r="Z351" s="6"/>
      <c r="AA351" s="6" t="s">
        <v>454</v>
      </c>
    </row>
    <row r="352" spans="1:27" s="4" customFormat="1" ht="51.95" customHeight="1">
      <c r="A352" s="5">
        <v>0</v>
      </c>
      <c r="B352" s="6" t="s">
        <v>2411</v>
      </c>
      <c r="C352" s="13">
        <v>790</v>
      </c>
      <c r="D352" s="8" t="s">
        <v>2412</v>
      </c>
      <c r="E352" s="8" t="s">
        <v>2413</v>
      </c>
      <c r="F352" s="8" t="s">
        <v>2414</v>
      </c>
      <c r="G352" s="6" t="s">
        <v>52</v>
      </c>
      <c r="H352" s="6" t="s">
        <v>207</v>
      </c>
      <c r="I352" s="8" t="s">
        <v>130</v>
      </c>
      <c r="J352" s="9">
        <v>1</v>
      </c>
      <c r="K352" s="9">
        <v>159</v>
      </c>
      <c r="L352" s="9">
        <v>2023</v>
      </c>
      <c r="M352" s="8" t="s">
        <v>2415</v>
      </c>
      <c r="N352" s="8" t="s">
        <v>41</v>
      </c>
      <c r="O352" s="8" t="s">
        <v>64</v>
      </c>
      <c r="P352" s="6" t="s">
        <v>65</v>
      </c>
      <c r="Q352" s="8" t="s">
        <v>132</v>
      </c>
      <c r="R352" s="10" t="s">
        <v>2416</v>
      </c>
      <c r="S352" s="11" t="s">
        <v>2417</v>
      </c>
      <c r="T352" s="6"/>
      <c r="U352" s="28" t="str">
        <f>HYPERLINK("https://media.infra-m.ru/2033/2033555/cover/2033555.jpg", "Обложка")</f>
        <v>Обложка</v>
      </c>
      <c r="V352" s="12"/>
      <c r="W352" s="8" t="s">
        <v>2418</v>
      </c>
      <c r="X352" s="6"/>
      <c r="Y352" s="6"/>
      <c r="Z352" s="6"/>
      <c r="AA352" s="6" t="s">
        <v>100</v>
      </c>
    </row>
    <row r="353" spans="1:27" s="4" customFormat="1" ht="51.95" customHeight="1">
      <c r="A353" s="5">
        <v>0</v>
      </c>
      <c r="B353" s="6" t="s">
        <v>2419</v>
      </c>
      <c r="C353" s="7">
        <v>1490</v>
      </c>
      <c r="D353" s="8" t="s">
        <v>2420</v>
      </c>
      <c r="E353" s="8" t="s">
        <v>2421</v>
      </c>
      <c r="F353" s="8" t="s">
        <v>2422</v>
      </c>
      <c r="G353" s="6" t="s">
        <v>121</v>
      </c>
      <c r="H353" s="6" t="s">
        <v>38</v>
      </c>
      <c r="I353" s="8" t="s">
        <v>2423</v>
      </c>
      <c r="J353" s="9">
        <v>1</v>
      </c>
      <c r="K353" s="9">
        <v>321</v>
      </c>
      <c r="L353" s="9">
        <v>2023</v>
      </c>
      <c r="M353" s="8" t="s">
        <v>2424</v>
      </c>
      <c r="N353" s="8" t="s">
        <v>41</v>
      </c>
      <c r="O353" s="8" t="s">
        <v>64</v>
      </c>
      <c r="P353" s="6" t="s">
        <v>65</v>
      </c>
      <c r="Q353" s="8" t="s">
        <v>132</v>
      </c>
      <c r="R353" s="10" t="s">
        <v>2416</v>
      </c>
      <c r="S353" s="11" t="s">
        <v>2425</v>
      </c>
      <c r="T353" s="6"/>
      <c r="U353" s="28" t="str">
        <f>HYPERLINK("https://media.infra-m.ru/2065/2065488/cover/2065488.jpg", "Обложка")</f>
        <v>Обложка</v>
      </c>
      <c r="V353" s="28" t="str">
        <f>HYPERLINK("https://znanium.com/catalog/product/2065488", "Ознакомиться")</f>
        <v>Ознакомиться</v>
      </c>
      <c r="W353" s="8" t="s">
        <v>2426</v>
      </c>
      <c r="X353" s="6" t="s">
        <v>386</v>
      </c>
      <c r="Y353" s="6"/>
      <c r="Z353" s="6"/>
      <c r="AA353" s="6" t="s">
        <v>574</v>
      </c>
    </row>
    <row r="354" spans="1:27" s="4" customFormat="1" ht="51.95" customHeight="1">
      <c r="A354" s="5">
        <v>0</v>
      </c>
      <c r="B354" s="6" t="s">
        <v>2427</v>
      </c>
      <c r="C354" s="7">
        <v>1880</v>
      </c>
      <c r="D354" s="8" t="s">
        <v>2428</v>
      </c>
      <c r="E354" s="8" t="s">
        <v>2429</v>
      </c>
      <c r="F354" s="8" t="s">
        <v>2430</v>
      </c>
      <c r="G354" s="6" t="s">
        <v>121</v>
      </c>
      <c r="H354" s="6" t="s">
        <v>38</v>
      </c>
      <c r="I354" s="8" t="s">
        <v>2423</v>
      </c>
      <c r="J354" s="9">
        <v>1</v>
      </c>
      <c r="K354" s="9">
        <v>414</v>
      </c>
      <c r="L354" s="9">
        <v>2023</v>
      </c>
      <c r="M354" s="8" t="s">
        <v>2431</v>
      </c>
      <c r="N354" s="8" t="s">
        <v>41</v>
      </c>
      <c r="O354" s="8" t="s">
        <v>181</v>
      </c>
      <c r="P354" s="6" t="s">
        <v>65</v>
      </c>
      <c r="Q354" s="8" t="s">
        <v>132</v>
      </c>
      <c r="R354" s="10" t="s">
        <v>2432</v>
      </c>
      <c r="S354" s="11" t="s">
        <v>2433</v>
      </c>
      <c r="T354" s="6"/>
      <c r="U354" s="28" t="str">
        <f>HYPERLINK("https://media.infra-m.ru/2001/2001722/cover/2001722.jpg", "Обложка")</f>
        <v>Обложка</v>
      </c>
      <c r="V354" s="28" t="str">
        <f>HYPERLINK("https://znanium.com/catalog/product/2001722", "Ознакомиться")</f>
        <v>Ознакомиться</v>
      </c>
      <c r="W354" s="8" t="s">
        <v>2426</v>
      </c>
      <c r="X354" s="6" t="s">
        <v>386</v>
      </c>
      <c r="Y354" s="6"/>
      <c r="Z354" s="6"/>
      <c r="AA354" s="6" t="s">
        <v>574</v>
      </c>
    </row>
    <row r="355" spans="1:27" s="4" customFormat="1" ht="51.95" customHeight="1">
      <c r="A355" s="5">
        <v>0</v>
      </c>
      <c r="B355" s="6" t="s">
        <v>2434</v>
      </c>
      <c r="C355" s="7">
        <v>1994.9</v>
      </c>
      <c r="D355" s="8" t="s">
        <v>2435</v>
      </c>
      <c r="E355" s="8" t="s">
        <v>2436</v>
      </c>
      <c r="F355" s="8" t="s">
        <v>2437</v>
      </c>
      <c r="G355" s="6" t="s">
        <v>52</v>
      </c>
      <c r="H355" s="6" t="s">
        <v>317</v>
      </c>
      <c r="I355" s="8"/>
      <c r="J355" s="9">
        <v>1</v>
      </c>
      <c r="K355" s="9">
        <v>560</v>
      </c>
      <c r="L355" s="9">
        <v>2022</v>
      </c>
      <c r="M355" s="8" t="s">
        <v>2438</v>
      </c>
      <c r="N355" s="8" t="s">
        <v>41</v>
      </c>
      <c r="O355" s="8" t="s">
        <v>97</v>
      </c>
      <c r="P355" s="6" t="s">
        <v>85</v>
      </c>
      <c r="Q355" s="8" t="s">
        <v>66</v>
      </c>
      <c r="R355" s="10" t="s">
        <v>2439</v>
      </c>
      <c r="S355" s="11"/>
      <c r="T355" s="6"/>
      <c r="U355" s="28" t="str">
        <f>HYPERLINK("https://media.infra-m.ru/1073/1073010/cover/1073010.jpg", "Обложка")</f>
        <v>Обложка</v>
      </c>
      <c r="V355" s="28" t="str">
        <f>HYPERLINK("https://znanium.com/catalog/product/1022478", "Ознакомиться")</f>
        <v>Ознакомиться</v>
      </c>
      <c r="W355" s="8" t="s">
        <v>2384</v>
      </c>
      <c r="X355" s="6"/>
      <c r="Y355" s="6"/>
      <c r="Z355" s="6"/>
      <c r="AA355" s="6" t="s">
        <v>100</v>
      </c>
    </row>
    <row r="356" spans="1:27" s="4" customFormat="1" ht="51.95" customHeight="1">
      <c r="A356" s="5">
        <v>0</v>
      </c>
      <c r="B356" s="6" t="s">
        <v>2440</v>
      </c>
      <c r="C356" s="13">
        <v>719.9</v>
      </c>
      <c r="D356" s="8" t="s">
        <v>2441</v>
      </c>
      <c r="E356" s="8" t="s">
        <v>2442</v>
      </c>
      <c r="F356" s="8" t="s">
        <v>297</v>
      </c>
      <c r="G356" s="6" t="s">
        <v>121</v>
      </c>
      <c r="H356" s="6" t="s">
        <v>122</v>
      </c>
      <c r="I356" s="8" t="s">
        <v>298</v>
      </c>
      <c r="J356" s="9">
        <v>1</v>
      </c>
      <c r="K356" s="9">
        <v>224</v>
      </c>
      <c r="L356" s="9">
        <v>2019</v>
      </c>
      <c r="M356" s="8" t="s">
        <v>2443</v>
      </c>
      <c r="N356" s="8" t="s">
        <v>41</v>
      </c>
      <c r="O356" s="8" t="s">
        <v>42</v>
      </c>
      <c r="P356" s="6" t="s">
        <v>85</v>
      </c>
      <c r="Q356" s="8" t="s">
        <v>189</v>
      </c>
      <c r="R356" s="10" t="s">
        <v>2444</v>
      </c>
      <c r="S356" s="11" t="s">
        <v>2445</v>
      </c>
      <c r="T356" s="6"/>
      <c r="U356" s="28" t="str">
        <f>HYPERLINK("https://media.infra-m.ru/0972/0972438/cover/972438.jpg", "Обложка")</f>
        <v>Обложка</v>
      </c>
      <c r="V356" s="28" t="str">
        <f>HYPERLINK("https://znanium.com/catalog/product/2118072", "Ознакомиться")</f>
        <v>Ознакомиться</v>
      </c>
      <c r="W356" s="8" t="s">
        <v>301</v>
      </c>
      <c r="X356" s="6"/>
      <c r="Y356" s="6" t="s">
        <v>30</v>
      </c>
      <c r="Z356" s="6"/>
      <c r="AA356" s="6" t="s">
        <v>401</v>
      </c>
    </row>
    <row r="357" spans="1:27" s="4" customFormat="1" ht="44.1" customHeight="1">
      <c r="A357" s="5">
        <v>0</v>
      </c>
      <c r="B357" s="6" t="s">
        <v>2446</v>
      </c>
      <c r="C357" s="13">
        <v>870</v>
      </c>
      <c r="D357" s="8" t="s">
        <v>2447</v>
      </c>
      <c r="E357" s="8" t="s">
        <v>2448</v>
      </c>
      <c r="F357" s="8" t="s">
        <v>2449</v>
      </c>
      <c r="G357" s="6" t="s">
        <v>52</v>
      </c>
      <c r="H357" s="6" t="s">
        <v>38</v>
      </c>
      <c r="I357" s="8" t="s">
        <v>39</v>
      </c>
      <c r="J357" s="9">
        <v>1</v>
      </c>
      <c r="K357" s="9">
        <v>171</v>
      </c>
      <c r="L357" s="9">
        <v>2023</v>
      </c>
      <c r="M357" s="8" t="s">
        <v>2450</v>
      </c>
      <c r="N357" s="8" t="s">
        <v>41</v>
      </c>
      <c r="O357" s="8" t="s">
        <v>64</v>
      </c>
      <c r="P357" s="6" t="s">
        <v>43</v>
      </c>
      <c r="Q357" s="8" t="s">
        <v>44</v>
      </c>
      <c r="R357" s="10" t="s">
        <v>2451</v>
      </c>
      <c r="S357" s="11"/>
      <c r="T357" s="6"/>
      <c r="U357" s="28" t="str">
        <f>HYPERLINK("https://media.infra-m.ru/1993/1993656/cover/1993656.jpg", "Обложка")</f>
        <v>Обложка</v>
      </c>
      <c r="V357" s="28" t="str">
        <f>HYPERLINK("https://znanium.com/catalog/product/1903315", "Ознакомиться")</f>
        <v>Ознакомиться</v>
      </c>
      <c r="W357" s="8" t="s">
        <v>2452</v>
      </c>
      <c r="X357" s="6"/>
      <c r="Y357" s="6"/>
      <c r="Z357" s="6"/>
      <c r="AA357" s="6" t="s">
        <v>574</v>
      </c>
    </row>
    <row r="358" spans="1:27" s="4" customFormat="1" ht="51.95" customHeight="1">
      <c r="A358" s="5">
        <v>0</v>
      </c>
      <c r="B358" s="6" t="s">
        <v>2453</v>
      </c>
      <c r="C358" s="7">
        <v>1000</v>
      </c>
      <c r="D358" s="8" t="s">
        <v>2454</v>
      </c>
      <c r="E358" s="8" t="s">
        <v>2455</v>
      </c>
      <c r="F358" s="8" t="s">
        <v>2456</v>
      </c>
      <c r="G358" s="6" t="s">
        <v>37</v>
      </c>
      <c r="H358" s="6" t="s">
        <v>38</v>
      </c>
      <c r="I358" s="8" t="s">
        <v>795</v>
      </c>
      <c r="J358" s="9">
        <v>1</v>
      </c>
      <c r="K358" s="9">
        <v>224</v>
      </c>
      <c r="L358" s="9">
        <v>2023</v>
      </c>
      <c r="M358" s="8" t="s">
        <v>2457</v>
      </c>
      <c r="N358" s="8" t="s">
        <v>41</v>
      </c>
      <c r="O358" s="8" t="s">
        <v>64</v>
      </c>
      <c r="P358" s="6" t="s">
        <v>65</v>
      </c>
      <c r="Q358" s="8" t="s">
        <v>797</v>
      </c>
      <c r="R358" s="10" t="s">
        <v>2458</v>
      </c>
      <c r="S358" s="11" t="s">
        <v>2459</v>
      </c>
      <c r="T358" s="6"/>
      <c r="U358" s="28" t="str">
        <f>HYPERLINK("https://media.infra-m.ru/1910/1910549/cover/1910549.jpg", "Обложка")</f>
        <v>Обложка</v>
      </c>
      <c r="V358" s="28" t="str">
        <f>HYPERLINK("https://znanium.com/catalog/product/1910549", "Ознакомиться")</f>
        <v>Ознакомиться</v>
      </c>
      <c r="W358" s="8" t="s">
        <v>339</v>
      </c>
      <c r="X358" s="6"/>
      <c r="Y358" s="6"/>
      <c r="Z358" s="6"/>
      <c r="AA358" s="6" t="s">
        <v>70</v>
      </c>
    </row>
    <row r="359" spans="1:27" s="4" customFormat="1" ht="51.95" customHeight="1">
      <c r="A359" s="5">
        <v>0</v>
      </c>
      <c r="B359" s="6" t="s">
        <v>2460</v>
      </c>
      <c r="C359" s="7">
        <v>1000</v>
      </c>
      <c r="D359" s="8" t="s">
        <v>2461</v>
      </c>
      <c r="E359" s="8" t="s">
        <v>2462</v>
      </c>
      <c r="F359" s="8" t="s">
        <v>615</v>
      </c>
      <c r="G359" s="6" t="s">
        <v>37</v>
      </c>
      <c r="H359" s="6" t="s">
        <v>38</v>
      </c>
      <c r="I359" s="8" t="s">
        <v>83</v>
      </c>
      <c r="J359" s="9">
        <v>1</v>
      </c>
      <c r="K359" s="9">
        <v>262</v>
      </c>
      <c r="L359" s="9">
        <v>2022</v>
      </c>
      <c r="M359" s="8" t="s">
        <v>2463</v>
      </c>
      <c r="N359" s="8" t="s">
        <v>41</v>
      </c>
      <c r="O359" s="8" t="s">
        <v>64</v>
      </c>
      <c r="P359" s="6" t="s">
        <v>65</v>
      </c>
      <c r="Q359" s="8" t="s">
        <v>86</v>
      </c>
      <c r="R359" s="10" t="s">
        <v>618</v>
      </c>
      <c r="S359" s="11" t="s">
        <v>2464</v>
      </c>
      <c r="T359" s="6" t="s">
        <v>89</v>
      </c>
      <c r="U359" s="28" t="str">
        <f>HYPERLINK("https://media.infra-m.ru/1862/1862655/cover/1862655.jpg", "Обложка")</f>
        <v>Обложка</v>
      </c>
      <c r="V359" s="28" t="str">
        <f>HYPERLINK("https://znanium.com/catalog/product/1862655", "Ознакомиться")</f>
        <v>Ознакомиться</v>
      </c>
      <c r="W359" s="8" t="s">
        <v>620</v>
      </c>
      <c r="X359" s="6"/>
      <c r="Y359" s="6"/>
      <c r="Z359" s="6"/>
      <c r="AA359" s="6" t="s">
        <v>193</v>
      </c>
    </row>
    <row r="360" spans="1:27" s="4" customFormat="1" ht="51.95" customHeight="1">
      <c r="A360" s="5">
        <v>0</v>
      </c>
      <c r="B360" s="6" t="s">
        <v>2465</v>
      </c>
      <c r="C360" s="7">
        <v>1994</v>
      </c>
      <c r="D360" s="8" t="s">
        <v>2466</v>
      </c>
      <c r="E360" s="8" t="s">
        <v>2467</v>
      </c>
      <c r="F360" s="8" t="s">
        <v>2468</v>
      </c>
      <c r="G360" s="6" t="s">
        <v>121</v>
      </c>
      <c r="H360" s="6" t="s">
        <v>38</v>
      </c>
      <c r="I360" s="8" t="s">
        <v>62</v>
      </c>
      <c r="J360" s="9">
        <v>1</v>
      </c>
      <c r="K360" s="9">
        <v>436</v>
      </c>
      <c r="L360" s="9">
        <v>2024</v>
      </c>
      <c r="M360" s="8" t="s">
        <v>2469</v>
      </c>
      <c r="N360" s="8" t="s">
        <v>41</v>
      </c>
      <c r="O360" s="8" t="s">
        <v>64</v>
      </c>
      <c r="P360" s="6" t="s">
        <v>65</v>
      </c>
      <c r="Q360" s="8" t="s">
        <v>66</v>
      </c>
      <c r="R360" s="10" t="s">
        <v>2470</v>
      </c>
      <c r="S360" s="11" t="s">
        <v>2471</v>
      </c>
      <c r="T360" s="6"/>
      <c r="U360" s="28" t="str">
        <f>HYPERLINK("https://media.infra-m.ru/2118/2118674/cover/2118674.jpg", "Обложка")</f>
        <v>Обложка</v>
      </c>
      <c r="V360" s="28" t="str">
        <f>HYPERLINK("https://znanium.com/catalog/product/1895465", "Ознакомиться")</f>
        <v>Ознакомиться</v>
      </c>
      <c r="W360" s="8" t="s">
        <v>339</v>
      </c>
      <c r="X360" s="6"/>
      <c r="Y360" s="6"/>
      <c r="Z360" s="6"/>
      <c r="AA360" s="6" t="s">
        <v>193</v>
      </c>
    </row>
    <row r="361" spans="1:27" s="4" customFormat="1" ht="44.1" customHeight="1">
      <c r="A361" s="5">
        <v>0</v>
      </c>
      <c r="B361" s="6" t="s">
        <v>2472</v>
      </c>
      <c r="C361" s="13">
        <v>830</v>
      </c>
      <c r="D361" s="8" t="s">
        <v>2473</v>
      </c>
      <c r="E361" s="8" t="s">
        <v>2474</v>
      </c>
      <c r="F361" s="8" t="s">
        <v>2475</v>
      </c>
      <c r="G361" s="6" t="s">
        <v>121</v>
      </c>
      <c r="H361" s="6" t="s">
        <v>38</v>
      </c>
      <c r="I361" s="8" t="s">
        <v>130</v>
      </c>
      <c r="J361" s="9">
        <v>1</v>
      </c>
      <c r="K361" s="9">
        <v>182</v>
      </c>
      <c r="L361" s="9">
        <v>2023</v>
      </c>
      <c r="M361" s="8" t="s">
        <v>2476</v>
      </c>
      <c r="N361" s="8" t="s">
        <v>41</v>
      </c>
      <c r="O361" s="8" t="s">
        <v>64</v>
      </c>
      <c r="P361" s="6" t="s">
        <v>65</v>
      </c>
      <c r="Q361" s="8" t="s">
        <v>66</v>
      </c>
      <c r="R361" s="10" t="s">
        <v>2477</v>
      </c>
      <c r="S361" s="11"/>
      <c r="T361" s="6"/>
      <c r="U361" s="28" t="str">
        <f>HYPERLINK("https://media.infra-m.ru/1816/1816822/cover/1816822.jpg", "Обложка")</f>
        <v>Обложка</v>
      </c>
      <c r="V361" s="28" t="str">
        <f>HYPERLINK("https://znanium.com/catalog/product/1816822", "Ознакомиться")</f>
        <v>Ознакомиться</v>
      </c>
      <c r="W361" s="8" t="s">
        <v>582</v>
      </c>
      <c r="X361" s="6" t="s">
        <v>2478</v>
      </c>
      <c r="Y361" s="6"/>
      <c r="Z361" s="6"/>
      <c r="AA361" s="6" t="s">
        <v>574</v>
      </c>
    </row>
    <row r="362" spans="1:27" s="4" customFormat="1" ht="51.95" customHeight="1">
      <c r="A362" s="5">
        <v>0</v>
      </c>
      <c r="B362" s="6" t="s">
        <v>2479</v>
      </c>
      <c r="C362" s="7">
        <v>1094</v>
      </c>
      <c r="D362" s="8" t="s">
        <v>2480</v>
      </c>
      <c r="E362" s="8" t="s">
        <v>2481</v>
      </c>
      <c r="F362" s="8" t="s">
        <v>2482</v>
      </c>
      <c r="G362" s="6" t="s">
        <v>37</v>
      </c>
      <c r="H362" s="6" t="s">
        <v>38</v>
      </c>
      <c r="I362" s="8" t="s">
        <v>130</v>
      </c>
      <c r="J362" s="9">
        <v>1</v>
      </c>
      <c r="K362" s="9">
        <v>236</v>
      </c>
      <c r="L362" s="9">
        <v>2023</v>
      </c>
      <c r="M362" s="8" t="s">
        <v>2483</v>
      </c>
      <c r="N362" s="8" t="s">
        <v>41</v>
      </c>
      <c r="O362" s="8" t="s">
        <v>64</v>
      </c>
      <c r="P362" s="6" t="s">
        <v>65</v>
      </c>
      <c r="Q362" s="8" t="s">
        <v>66</v>
      </c>
      <c r="R362" s="10" t="s">
        <v>2484</v>
      </c>
      <c r="S362" s="11" t="s">
        <v>2485</v>
      </c>
      <c r="T362" s="6"/>
      <c r="U362" s="28" t="str">
        <f>HYPERLINK("https://media.infra-m.ru/2110/2110481/cover/2110481.jpg", "Обложка")</f>
        <v>Обложка</v>
      </c>
      <c r="V362" s="28" t="str">
        <f>HYPERLINK("https://znanium.com/catalog/product/2096826", "Ознакомиться")</f>
        <v>Ознакомиться</v>
      </c>
      <c r="W362" s="8" t="s">
        <v>730</v>
      </c>
      <c r="X362" s="6"/>
      <c r="Y362" s="6" t="s">
        <v>30</v>
      </c>
      <c r="Z362" s="6"/>
      <c r="AA362" s="6" t="s">
        <v>320</v>
      </c>
    </row>
    <row r="363" spans="1:27" s="4" customFormat="1" ht="42" customHeight="1">
      <c r="A363" s="5">
        <v>0</v>
      </c>
      <c r="B363" s="6" t="s">
        <v>2486</v>
      </c>
      <c r="C363" s="13">
        <v>300</v>
      </c>
      <c r="D363" s="8" t="s">
        <v>2487</v>
      </c>
      <c r="E363" s="8" t="s">
        <v>2488</v>
      </c>
      <c r="F363" s="8" t="s">
        <v>818</v>
      </c>
      <c r="G363" s="6" t="s">
        <v>52</v>
      </c>
      <c r="H363" s="6" t="s">
        <v>38</v>
      </c>
      <c r="I363" s="8"/>
      <c r="J363" s="9">
        <v>1</v>
      </c>
      <c r="K363" s="9">
        <v>154</v>
      </c>
      <c r="L363" s="9">
        <v>2020</v>
      </c>
      <c r="M363" s="8" t="s">
        <v>2489</v>
      </c>
      <c r="N363" s="8" t="s">
        <v>41</v>
      </c>
      <c r="O363" s="8" t="s">
        <v>64</v>
      </c>
      <c r="P363" s="6" t="s">
        <v>2490</v>
      </c>
      <c r="Q363" s="8" t="s">
        <v>66</v>
      </c>
      <c r="R363" s="10" t="s">
        <v>1599</v>
      </c>
      <c r="S363" s="11"/>
      <c r="T363" s="6"/>
      <c r="U363" s="28" t="str">
        <f>HYPERLINK("https://media.infra-m.ru/1036/1036427/cover/1036427.jpg", "Обложка")</f>
        <v>Обложка</v>
      </c>
      <c r="V363" s="28" t="str">
        <f>HYPERLINK("https://znanium.com/catalog/product/1852247", "Ознакомиться")</f>
        <v>Ознакомиться</v>
      </c>
      <c r="W363" s="8" t="s">
        <v>582</v>
      </c>
      <c r="X363" s="6"/>
      <c r="Y363" s="6"/>
      <c r="Z363" s="6"/>
      <c r="AA363" s="6" t="s">
        <v>70</v>
      </c>
    </row>
    <row r="364" spans="1:27" s="4" customFormat="1" ht="51.95" customHeight="1">
      <c r="A364" s="5">
        <v>0</v>
      </c>
      <c r="B364" s="6" t="s">
        <v>2491</v>
      </c>
      <c r="C364" s="7">
        <v>2180</v>
      </c>
      <c r="D364" s="8" t="s">
        <v>2492</v>
      </c>
      <c r="E364" s="8" t="s">
        <v>2493</v>
      </c>
      <c r="F364" s="8" t="s">
        <v>818</v>
      </c>
      <c r="G364" s="6" t="s">
        <v>121</v>
      </c>
      <c r="H364" s="6" t="s">
        <v>38</v>
      </c>
      <c r="I364" s="8" t="s">
        <v>130</v>
      </c>
      <c r="J364" s="9">
        <v>1</v>
      </c>
      <c r="K364" s="9">
        <v>474</v>
      </c>
      <c r="L364" s="9">
        <v>2024</v>
      </c>
      <c r="M364" s="8" t="s">
        <v>2494</v>
      </c>
      <c r="N364" s="8" t="s">
        <v>41</v>
      </c>
      <c r="O364" s="8" t="s">
        <v>64</v>
      </c>
      <c r="P364" s="6" t="s">
        <v>85</v>
      </c>
      <c r="Q364" s="8" t="s">
        <v>132</v>
      </c>
      <c r="R364" s="10" t="s">
        <v>2495</v>
      </c>
      <c r="S364" s="11" t="s">
        <v>2496</v>
      </c>
      <c r="T364" s="6"/>
      <c r="U364" s="28" t="str">
        <f>HYPERLINK("https://media.infra-m.ru/2079/2079261/cover/2079261.jpg", "Обложка")</f>
        <v>Обложка</v>
      </c>
      <c r="V364" s="28" t="str">
        <f>HYPERLINK("https://znanium.com/catalog/product/2079261", "Ознакомиться")</f>
        <v>Ознакомиться</v>
      </c>
      <c r="W364" s="8" t="s">
        <v>582</v>
      </c>
      <c r="X364" s="6"/>
      <c r="Y364" s="6" t="s">
        <v>30</v>
      </c>
      <c r="Z364" s="6"/>
      <c r="AA364" s="6" t="s">
        <v>464</v>
      </c>
    </row>
    <row r="365" spans="1:27" s="4" customFormat="1" ht="51.95" customHeight="1">
      <c r="A365" s="5">
        <v>0</v>
      </c>
      <c r="B365" s="6" t="s">
        <v>2497</v>
      </c>
      <c r="C365" s="7">
        <v>1400</v>
      </c>
      <c r="D365" s="8" t="s">
        <v>2498</v>
      </c>
      <c r="E365" s="8" t="s">
        <v>2499</v>
      </c>
      <c r="F365" s="8" t="s">
        <v>2500</v>
      </c>
      <c r="G365" s="6" t="s">
        <v>37</v>
      </c>
      <c r="H365" s="6" t="s">
        <v>38</v>
      </c>
      <c r="I365" s="8" t="s">
        <v>130</v>
      </c>
      <c r="J365" s="9">
        <v>1</v>
      </c>
      <c r="K365" s="9">
        <v>304</v>
      </c>
      <c r="L365" s="9">
        <v>2024</v>
      </c>
      <c r="M365" s="8" t="s">
        <v>2501</v>
      </c>
      <c r="N365" s="8" t="s">
        <v>41</v>
      </c>
      <c r="O365" s="8" t="s">
        <v>97</v>
      </c>
      <c r="P365" s="6" t="s">
        <v>65</v>
      </c>
      <c r="Q365" s="8" t="s">
        <v>132</v>
      </c>
      <c r="R365" s="10" t="s">
        <v>2502</v>
      </c>
      <c r="S365" s="11" t="s">
        <v>2503</v>
      </c>
      <c r="T365" s="6"/>
      <c r="U365" s="28" t="str">
        <f>HYPERLINK("https://media.infra-m.ru/2055/2055770/cover/2055770.jpg", "Обложка")</f>
        <v>Обложка</v>
      </c>
      <c r="V365" s="28" t="str">
        <f>HYPERLINK("https://znanium.com/catalog/product/2055770", "Ознакомиться")</f>
        <v>Ознакомиться</v>
      </c>
      <c r="W365" s="8" t="s">
        <v>2024</v>
      </c>
      <c r="X365" s="6"/>
      <c r="Y365" s="6"/>
      <c r="Z365" s="6"/>
      <c r="AA365" s="6" t="s">
        <v>225</v>
      </c>
    </row>
    <row r="366" spans="1:27" s="4" customFormat="1" ht="51.95" customHeight="1">
      <c r="A366" s="5">
        <v>0</v>
      </c>
      <c r="B366" s="6" t="s">
        <v>2504</v>
      </c>
      <c r="C366" s="7">
        <v>1434.9</v>
      </c>
      <c r="D366" s="8" t="s">
        <v>2505</v>
      </c>
      <c r="E366" s="8" t="s">
        <v>2506</v>
      </c>
      <c r="F366" s="8" t="s">
        <v>2507</v>
      </c>
      <c r="G366" s="6" t="s">
        <v>37</v>
      </c>
      <c r="H366" s="6" t="s">
        <v>38</v>
      </c>
      <c r="I366" s="8" t="s">
        <v>62</v>
      </c>
      <c r="J366" s="9">
        <v>1</v>
      </c>
      <c r="K366" s="9">
        <v>319</v>
      </c>
      <c r="L366" s="9">
        <v>2023</v>
      </c>
      <c r="M366" s="8" t="s">
        <v>2508</v>
      </c>
      <c r="N366" s="8" t="s">
        <v>41</v>
      </c>
      <c r="O366" s="8" t="s">
        <v>54</v>
      </c>
      <c r="P366" s="6" t="s">
        <v>65</v>
      </c>
      <c r="Q366" s="8" t="s">
        <v>66</v>
      </c>
      <c r="R366" s="10" t="s">
        <v>2509</v>
      </c>
      <c r="S366" s="11" t="s">
        <v>2510</v>
      </c>
      <c r="T366" s="6"/>
      <c r="U366" s="28" t="str">
        <f>HYPERLINK("https://media.infra-m.ru/1910/1910551/cover/1910551.jpg", "Обложка")</f>
        <v>Обложка</v>
      </c>
      <c r="V366" s="28" t="str">
        <f>HYPERLINK("https://znanium.com/catalog/product/1679516", "Ознакомиться")</f>
        <v>Ознакомиться</v>
      </c>
      <c r="W366" s="8" t="s">
        <v>238</v>
      </c>
      <c r="X366" s="6"/>
      <c r="Y366" s="6"/>
      <c r="Z366" s="6"/>
      <c r="AA366" s="6" t="s">
        <v>91</v>
      </c>
    </row>
    <row r="367" spans="1:27" s="4" customFormat="1" ht="51.95" customHeight="1">
      <c r="A367" s="5">
        <v>0</v>
      </c>
      <c r="B367" s="6" t="s">
        <v>2511</v>
      </c>
      <c r="C367" s="13">
        <v>984.9</v>
      </c>
      <c r="D367" s="8" t="s">
        <v>2512</v>
      </c>
      <c r="E367" s="8" t="s">
        <v>2513</v>
      </c>
      <c r="F367" s="8" t="s">
        <v>2514</v>
      </c>
      <c r="G367" s="6" t="s">
        <v>121</v>
      </c>
      <c r="H367" s="6" t="s">
        <v>38</v>
      </c>
      <c r="I367" s="8" t="s">
        <v>62</v>
      </c>
      <c r="J367" s="9">
        <v>1</v>
      </c>
      <c r="K367" s="9">
        <v>447</v>
      </c>
      <c r="L367" s="9">
        <v>2017</v>
      </c>
      <c r="M367" s="8" t="s">
        <v>2515</v>
      </c>
      <c r="N367" s="8" t="s">
        <v>41</v>
      </c>
      <c r="O367" s="8" t="s">
        <v>97</v>
      </c>
      <c r="P367" s="6" t="s">
        <v>65</v>
      </c>
      <c r="Q367" s="8" t="s">
        <v>66</v>
      </c>
      <c r="R367" s="10" t="s">
        <v>2275</v>
      </c>
      <c r="S367" s="11" t="s">
        <v>2516</v>
      </c>
      <c r="T367" s="6"/>
      <c r="U367" s="28" t="str">
        <f>HYPERLINK("https://media.infra-m.ru/0560/0560491/cover/560491.jpg", "Обложка")</f>
        <v>Обложка</v>
      </c>
      <c r="V367" s="28" t="str">
        <f>HYPERLINK("https://znanium.com/catalog/product/2087292", "Ознакомиться")</f>
        <v>Ознакомиться</v>
      </c>
      <c r="W367" s="8" t="s">
        <v>2517</v>
      </c>
      <c r="X367" s="6"/>
      <c r="Y367" s="6"/>
      <c r="Z367" s="6"/>
      <c r="AA367" s="6" t="s">
        <v>57</v>
      </c>
    </row>
    <row r="368" spans="1:27" s="4" customFormat="1" ht="51.95" customHeight="1">
      <c r="A368" s="5">
        <v>0</v>
      </c>
      <c r="B368" s="6" t="s">
        <v>2518</v>
      </c>
      <c r="C368" s="13">
        <v>830</v>
      </c>
      <c r="D368" s="8" t="s">
        <v>2519</v>
      </c>
      <c r="E368" s="8" t="s">
        <v>2520</v>
      </c>
      <c r="F368" s="8" t="s">
        <v>2521</v>
      </c>
      <c r="G368" s="6" t="s">
        <v>121</v>
      </c>
      <c r="H368" s="6" t="s">
        <v>38</v>
      </c>
      <c r="I368" s="8" t="s">
        <v>2423</v>
      </c>
      <c r="J368" s="9">
        <v>1</v>
      </c>
      <c r="K368" s="9">
        <v>178</v>
      </c>
      <c r="L368" s="9">
        <v>2024</v>
      </c>
      <c r="M368" s="8" t="s">
        <v>2522</v>
      </c>
      <c r="N368" s="8" t="s">
        <v>41</v>
      </c>
      <c r="O368" s="8" t="s">
        <v>97</v>
      </c>
      <c r="P368" s="6" t="s">
        <v>65</v>
      </c>
      <c r="Q368" s="8" t="s">
        <v>132</v>
      </c>
      <c r="R368" s="10" t="s">
        <v>2523</v>
      </c>
      <c r="S368" s="11" t="s">
        <v>2524</v>
      </c>
      <c r="T368" s="6"/>
      <c r="U368" s="28" t="str">
        <f>HYPERLINK("https://media.infra-m.ru/2083/2083699/cover/2083699.jpg", "Обложка")</f>
        <v>Обложка</v>
      </c>
      <c r="V368" s="28" t="str">
        <f>HYPERLINK("https://znanium.com/catalog/product/2083699", "Ознакомиться")</f>
        <v>Ознакомиться</v>
      </c>
      <c r="W368" s="8" t="s">
        <v>2426</v>
      </c>
      <c r="X368" s="6" t="s">
        <v>1002</v>
      </c>
      <c r="Y368" s="6"/>
      <c r="Z368" s="6"/>
      <c r="AA368" s="6" t="s">
        <v>2126</v>
      </c>
    </row>
    <row r="369" spans="1:27" s="4" customFormat="1" ht="51.95" customHeight="1">
      <c r="A369" s="5">
        <v>0</v>
      </c>
      <c r="B369" s="6" t="s">
        <v>2525</v>
      </c>
      <c r="C369" s="7">
        <v>1914.9</v>
      </c>
      <c r="D369" s="8" t="s">
        <v>2526</v>
      </c>
      <c r="E369" s="8" t="s">
        <v>2527</v>
      </c>
      <c r="F369" s="8" t="s">
        <v>2528</v>
      </c>
      <c r="G369" s="6" t="s">
        <v>37</v>
      </c>
      <c r="H369" s="6" t="s">
        <v>38</v>
      </c>
      <c r="I369" s="8" t="s">
        <v>62</v>
      </c>
      <c r="J369" s="9">
        <v>1</v>
      </c>
      <c r="K369" s="9">
        <v>425</v>
      </c>
      <c r="L369" s="9">
        <v>2023</v>
      </c>
      <c r="M369" s="8" t="s">
        <v>2529</v>
      </c>
      <c r="N369" s="8" t="s">
        <v>41</v>
      </c>
      <c r="O369" s="8" t="s">
        <v>64</v>
      </c>
      <c r="P369" s="6" t="s">
        <v>85</v>
      </c>
      <c r="Q369" s="8" t="s">
        <v>66</v>
      </c>
      <c r="R369" s="10" t="s">
        <v>2530</v>
      </c>
      <c r="S369" s="11" t="s">
        <v>2531</v>
      </c>
      <c r="T369" s="6" t="s">
        <v>89</v>
      </c>
      <c r="U369" s="28" t="str">
        <f>HYPERLINK("https://media.infra-m.ru/2023/2023164/cover/2023164.jpg", "Обложка")</f>
        <v>Обложка</v>
      </c>
      <c r="V369" s="28" t="str">
        <f>HYPERLINK("https://znanium.com/catalog/product/1852256", "Ознакомиться")</f>
        <v>Ознакомиться</v>
      </c>
      <c r="W369" s="8"/>
      <c r="X369" s="6"/>
      <c r="Y369" s="6"/>
      <c r="Z369" s="6"/>
      <c r="AA369" s="6" t="s">
        <v>70</v>
      </c>
    </row>
    <row r="370" spans="1:27" s="4" customFormat="1" ht="42" customHeight="1">
      <c r="A370" s="5">
        <v>0</v>
      </c>
      <c r="B370" s="6" t="s">
        <v>2532</v>
      </c>
      <c r="C370" s="7">
        <v>1374</v>
      </c>
      <c r="D370" s="8" t="s">
        <v>2533</v>
      </c>
      <c r="E370" s="8" t="s">
        <v>2534</v>
      </c>
      <c r="F370" s="8" t="s">
        <v>2535</v>
      </c>
      <c r="G370" s="6" t="s">
        <v>37</v>
      </c>
      <c r="H370" s="6" t="s">
        <v>38</v>
      </c>
      <c r="I370" s="8" t="s">
        <v>130</v>
      </c>
      <c r="J370" s="9">
        <v>1</v>
      </c>
      <c r="K370" s="9">
        <v>299</v>
      </c>
      <c r="L370" s="9">
        <v>2024</v>
      </c>
      <c r="M370" s="8" t="s">
        <v>2536</v>
      </c>
      <c r="N370" s="8" t="s">
        <v>41</v>
      </c>
      <c r="O370" s="8" t="s">
        <v>64</v>
      </c>
      <c r="P370" s="6" t="s">
        <v>2537</v>
      </c>
      <c r="Q370" s="8" t="s">
        <v>132</v>
      </c>
      <c r="R370" s="10" t="s">
        <v>2538</v>
      </c>
      <c r="S370" s="11"/>
      <c r="T370" s="6"/>
      <c r="U370" s="28" t="str">
        <f>HYPERLINK("https://media.infra-m.ru/2079/2079387/cover/2079387.jpg", "Обложка")</f>
        <v>Обложка</v>
      </c>
      <c r="V370" s="28" t="str">
        <f>HYPERLINK("https://znanium.com/catalog/product/1709433", "Ознакомиться")</f>
        <v>Ознакомиться</v>
      </c>
      <c r="W370" s="8" t="s">
        <v>2539</v>
      </c>
      <c r="X370" s="6"/>
      <c r="Y370" s="6"/>
      <c r="Z370" s="6"/>
      <c r="AA370" s="6" t="s">
        <v>2540</v>
      </c>
    </row>
    <row r="371" spans="1:27" s="4" customFormat="1" ht="51.95" customHeight="1">
      <c r="A371" s="5">
        <v>0</v>
      </c>
      <c r="B371" s="6" t="s">
        <v>2541</v>
      </c>
      <c r="C371" s="7">
        <v>1520</v>
      </c>
      <c r="D371" s="8" t="s">
        <v>2542</v>
      </c>
      <c r="E371" s="8" t="s">
        <v>2543</v>
      </c>
      <c r="F371" s="8" t="s">
        <v>2544</v>
      </c>
      <c r="G371" s="6" t="s">
        <v>37</v>
      </c>
      <c r="H371" s="6" t="s">
        <v>207</v>
      </c>
      <c r="I371" s="8" t="s">
        <v>187</v>
      </c>
      <c r="J371" s="9">
        <v>1</v>
      </c>
      <c r="K371" s="9">
        <v>336</v>
      </c>
      <c r="L371" s="9">
        <v>2023</v>
      </c>
      <c r="M371" s="8" t="s">
        <v>2545</v>
      </c>
      <c r="N371" s="8" t="s">
        <v>41</v>
      </c>
      <c r="O371" s="8" t="s">
        <v>64</v>
      </c>
      <c r="P371" s="6" t="s">
        <v>85</v>
      </c>
      <c r="Q371" s="8" t="s">
        <v>189</v>
      </c>
      <c r="R371" s="10" t="s">
        <v>2546</v>
      </c>
      <c r="S371" s="11" t="s">
        <v>1656</v>
      </c>
      <c r="T371" s="6"/>
      <c r="U371" s="28" t="str">
        <f>HYPERLINK("https://media.infra-m.ru/2039/2039969/cover/2039969.jpg", "Обложка")</f>
        <v>Обложка</v>
      </c>
      <c r="V371" s="28" t="str">
        <f>HYPERLINK("https://znanium.com/catalog/product/2039969", "Ознакомиться")</f>
        <v>Ознакомиться</v>
      </c>
      <c r="W371" s="8" t="s">
        <v>2547</v>
      </c>
      <c r="X371" s="6"/>
      <c r="Y371" s="6"/>
      <c r="Z371" s="6"/>
      <c r="AA371" s="6" t="s">
        <v>254</v>
      </c>
    </row>
    <row r="372" spans="1:27" s="4" customFormat="1" ht="51.95" customHeight="1">
      <c r="A372" s="5">
        <v>0</v>
      </c>
      <c r="B372" s="6" t="s">
        <v>2548</v>
      </c>
      <c r="C372" s="7">
        <v>1320</v>
      </c>
      <c r="D372" s="8" t="s">
        <v>2549</v>
      </c>
      <c r="E372" s="8" t="s">
        <v>2550</v>
      </c>
      <c r="F372" s="8" t="s">
        <v>2551</v>
      </c>
      <c r="G372" s="6" t="s">
        <v>37</v>
      </c>
      <c r="H372" s="6" t="s">
        <v>38</v>
      </c>
      <c r="I372" s="8" t="s">
        <v>62</v>
      </c>
      <c r="J372" s="9">
        <v>1</v>
      </c>
      <c r="K372" s="9">
        <v>293</v>
      </c>
      <c r="L372" s="9">
        <v>2020</v>
      </c>
      <c r="M372" s="8" t="s">
        <v>2552</v>
      </c>
      <c r="N372" s="8" t="s">
        <v>41</v>
      </c>
      <c r="O372" s="8" t="s">
        <v>54</v>
      </c>
      <c r="P372" s="6" t="s">
        <v>65</v>
      </c>
      <c r="Q372" s="8" t="s">
        <v>66</v>
      </c>
      <c r="R372" s="10" t="s">
        <v>2553</v>
      </c>
      <c r="S372" s="11" t="s">
        <v>2554</v>
      </c>
      <c r="T372" s="6"/>
      <c r="U372" s="28" t="str">
        <f>HYPERLINK("https://media.infra-m.ru/1947/1947364/cover/1947364.jpg", "Обложка")</f>
        <v>Обложка</v>
      </c>
      <c r="V372" s="28" t="str">
        <f>HYPERLINK("https://znanium.com/catalog/product/1058922", "Ознакомиться")</f>
        <v>Ознакомиться</v>
      </c>
      <c r="W372" s="8" t="s">
        <v>339</v>
      </c>
      <c r="X372" s="6"/>
      <c r="Y372" s="6"/>
      <c r="Z372" s="6"/>
      <c r="AA372" s="6" t="s">
        <v>108</v>
      </c>
    </row>
    <row r="373" spans="1:27" s="4" customFormat="1" ht="51.95" customHeight="1">
      <c r="A373" s="5">
        <v>0</v>
      </c>
      <c r="B373" s="6" t="s">
        <v>2555</v>
      </c>
      <c r="C373" s="7">
        <v>1944</v>
      </c>
      <c r="D373" s="8" t="s">
        <v>2556</v>
      </c>
      <c r="E373" s="8" t="s">
        <v>2557</v>
      </c>
      <c r="F373" s="8" t="s">
        <v>2558</v>
      </c>
      <c r="G373" s="6" t="s">
        <v>37</v>
      </c>
      <c r="H373" s="6" t="s">
        <v>38</v>
      </c>
      <c r="I373" s="8" t="s">
        <v>62</v>
      </c>
      <c r="J373" s="9">
        <v>1</v>
      </c>
      <c r="K373" s="9">
        <v>432</v>
      </c>
      <c r="L373" s="9">
        <v>2023</v>
      </c>
      <c r="M373" s="8" t="s">
        <v>2559</v>
      </c>
      <c r="N373" s="8" t="s">
        <v>41</v>
      </c>
      <c r="O373" s="8" t="s">
        <v>54</v>
      </c>
      <c r="P373" s="6" t="s">
        <v>65</v>
      </c>
      <c r="Q373" s="8" t="s">
        <v>66</v>
      </c>
      <c r="R373" s="10" t="s">
        <v>2560</v>
      </c>
      <c r="S373" s="11" t="s">
        <v>2561</v>
      </c>
      <c r="T373" s="6"/>
      <c r="U373" s="28" t="str">
        <f>HYPERLINK("https://media.infra-m.ru/2001/2001635/cover/2001635.jpg", "Обложка")</f>
        <v>Обложка</v>
      </c>
      <c r="V373" s="28" t="str">
        <f>HYPERLINK("https://znanium.com/catalog/product/1010761", "Ознакомиться")</f>
        <v>Ознакомиться</v>
      </c>
      <c r="W373" s="8" t="s">
        <v>143</v>
      </c>
      <c r="X373" s="6"/>
      <c r="Y373" s="6"/>
      <c r="Z373" s="6"/>
      <c r="AA373" s="6" t="s">
        <v>70</v>
      </c>
    </row>
    <row r="374" spans="1:27" s="4" customFormat="1" ht="51.95" customHeight="1">
      <c r="A374" s="5">
        <v>0</v>
      </c>
      <c r="B374" s="6" t="s">
        <v>2562</v>
      </c>
      <c r="C374" s="7">
        <v>1040</v>
      </c>
      <c r="D374" s="8" t="s">
        <v>2563</v>
      </c>
      <c r="E374" s="8" t="s">
        <v>2564</v>
      </c>
      <c r="F374" s="8" t="s">
        <v>2565</v>
      </c>
      <c r="G374" s="6" t="s">
        <v>52</v>
      </c>
      <c r="H374" s="6" t="s">
        <v>38</v>
      </c>
      <c r="I374" s="8" t="s">
        <v>998</v>
      </c>
      <c r="J374" s="9">
        <v>1</v>
      </c>
      <c r="K374" s="9">
        <v>296</v>
      </c>
      <c r="L374" s="9">
        <v>2020</v>
      </c>
      <c r="M374" s="8" t="s">
        <v>2566</v>
      </c>
      <c r="N374" s="8" t="s">
        <v>41</v>
      </c>
      <c r="O374" s="8" t="s">
        <v>54</v>
      </c>
      <c r="P374" s="6" t="s">
        <v>43</v>
      </c>
      <c r="Q374" s="8" t="s">
        <v>44</v>
      </c>
      <c r="R374" s="10" t="s">
        <v>2567</v>
      </c>
      <c r="S374" s="11"/>
      <c r="T374" s="6"/>
      <c r="U374" s="28" t="str">
        <f>HYPERLINK("https://media.infra-m.ru/1061/1061676/cover/1061676.jpg", "Обложка")</f>
        <v>Обложка</v>
      </c>
      <c r="V374" s="28" t="str">
        <f>HYPERLINK("https://znanium.com/catalog/product/1061676", "Ознакомиться")</f>
        <v>Ознакомиться</v>
      </c>
      <c r="W374" s="8" t="s">
        <v>2568</v>
      </c>
      <c r="X374" s="6"/>
      <c r="Y374" s="6"/>
      <c r="Z374" s="6"/>
      <c r="AA374" s="6" t="s">
        <v>108</v>
      </c>
    </row>
    <row r="375" spans="1:27" s="4" customFormat="1" ht="42" customHeight="1">
      <c r="A375" s="5">
        <v>0</v>
      </c>
      <c r="B375" s="6" t="s">
        <v>2569</v>
      </c>
      <c r="C375" s="13">
        <v>894.9</v>
      </c>
      <c r="D375" s="8" t="s">
        <v>2570</v>
      </c>
      <c r="E375" s="8" t="s">
        <v>2571</v>
      </c>
      <c r="F375" s="8" t="s">
        <v>2572</v>
      </c>
      <c r="G375" s="6" t="s">
        <v>52</v>
      </c>
      <c r="H375" s="6" t="s">
        <v>38</v>
      </c>
      <c r="I375" s="8"/>
      <c r="J375" s="9">
        <v>1</v>
      </c>
      <c r="K375" s="9">
        <v>200</v>
      </c>
      <c r="L375" s="9">
        <v>2023</v>
      </c>
      <c r="M375" s="8" t="s">
        <v>2573</v>
      </c>
      <c r="N375" s="8" t="s">
        <v>41</v>
      </c>
      <c r="O375" s="8" t="s">
        <v>64</v>
      </c>
      <c r="P375" s="6" t="s">
        <v>65</v>
      </c>
      <c r="Q375" s="8" t="s">
        <v>66</v>
      </c>
      <c r="R375" s="10" t="s">
        <v>2574</v>
      </c>
      <c r="S375" s="11"/>
      <c r="T375" s="6"/>
      <c r="U375" s="28" t="str">
        <f>HYPERLINK("https://media.infra-m.ru/1911/1911215/cover/1911215.jpg", "Обложка")</f>
        <v>Обложка</v>
      </c>
      <c r="V375" s="28" t="str">
        <f>HYPERLINK("https://znanium.com/catalog/product/1009306", "Ознакомиться")</f>
        <v>Ознакомиться</v>
      </c>
      <c r="W375" s="8" t="s">
        <v>463</v>
      </c>
      <c r="X375" s="6"/>
      <c r="Y375" s="6"/>
      <c r="Z375" s="6"/>
      <c r="AA375" s="6" t="s">
        <v>57</v>
      </c>
    </row>
    <row r="376" spans="1:27" s="4" customFormat="1" ht="51.95" customHeight="1">
      <c r="A376" s="5">
        <v>0</v>
      </c>
      <c r="B376" s="6" t="s">
        <v>2575</v>
      </c>
      <c r="C376" s="7">
        <v>1590</v>
      </c>
      <c r="D376" s="8" t="s">
        <v>2576</v>
      </c>
      <c r="E376" s="8" t="s">
        <v>2577</v>
      </c>
      <c r="F376" s="8" t="s">
        <v>2578</v>
      </c>
      <c r="G376" s="6" t="s">
        <v>37</v>
      </c>
      <c r="H376" s="6" t="s">
        <v>38</v>
      </c>
      <c r="I376" s="8" t="s">
        <v>83</v>
      </c>
      <c r="J376" s="9">
        <v>1</v>
      </c>
      <c r="K376" s="9">
        <v>345</v>
      </c>
      <c r="L376" s="9">
        <v>2023</v>
      </c>
      <c r="M376" s="8" t="s">
        <v>2579</v>
      </c>
      <c r="N376" s="8" t="s">
        <v>41</v>
      </c>
      <c r="O376" s="8" t="s">
        <v>42</v>
      </c>
      <c r="P376" s="6" t="s">
        <v>65</v>
      </c>
      <c r="Q376" s="8" t="s">
        <v>86</v>
      </c>
      <c r="R376" s="10" t="s">
        <v>2580</v>
      </c>
      <c r="S376" s="11" t="s">
        <v>2581</v>
      </c>
      <c r="T376" s="6" t="s">
        <v>89</v>
      </c>
      <c r="U376" s="28" t="str">
        <f>HYPERLINK("https://media.infra-m.ru/1913/1913521/cover/1913521.jpg", "Обложка")</f>
        <v>Обложка</v>
      </c>
      <c r="V376" s="28" t="str">
        <f>HYPERLINK("https://znanium.com/catalog/product/1913521", "Ознакомиться")</f>
        <v>Ознакомиться</v>
      </c>
      <c r="W376" s="8" t="s">
        <v>216</v>
      </c>
      <c r="X376" s="6"/>
      <c r="Y376" s="6"/>
      <c r="Z376" s="6"/>
      <c r="AA376" s="6" t="s">
        <v>1523</v>
      </c>
    </row>
    <row r="377" spans="1:27" s="4" customFormat="1" ht="51.95" customHeight="1">
      <c r="A377" s="5">
        <v>0</v>
      </c>
      <c r="B377" s="6" t="s">
        <v>2582</v>
      </c>
      <c r="C377" s="7">
        <v>1290</v>
      </c>
      <c r="D377" s="8" t="s">
        <v>2583</v>
      </c>
      <c r="E377" s="8" t="s">
        <v>2584</v>
      </c>
      <c r="F377" s="8" t="s">
        <v>2578</v>
      </c>
      <c r="G377" s="6" t="s">
        <v>37</v>
      </c>
      <c r="H377" s="6" t="s">
        <v>38</v>
      </c>
      <c r="I377" s="8" t="s">
        <v>83</v>
      </c>
      <c r="J377" s="9">
        <v>1</v>
      </c>
      <c r="K377" s="9">
        <v>264</v>
      </c>
      <c r="L377" s="9">
        <v>2021</v>
      </c>
      <c r="M377" s="8" t="s">
        <v>2585</v>
      </c>
      <c r="N377" s="8" t="s">
        <v>41</v>
      </c>
      <c r="O377" s="8" t="s">
        <v>42</v>
      </c>
      <c r="P377" s="6" t="s">
        <v>65</v>
      </c>
      <c r="Q377" s="8" t="s">
        <v>86</v>
      </c>
      <c r="R377" s="10" t="s">
        <v>2580</v>
      </c>
      <c r="S377" s="11" t="s">
        <v>2586</v>
      </c>
      <c r="T377" s="6"/>
      <c r="U377" s="28" t="str">
        <f>HYPERLINK("https://media.infra-m.ru/1157/1157859/cover/1157859.jpg", "Обложка")</f>
        <v>Обложка</v>
      </c>
      <c r="V377" s="28" t="str">
        <f>HYPERLINK("https://znanium.com/catalog/product/1913521", "Ознакомиться")</f>
        <v>Ознакомиться</v>
      </c>
      <c r="W377" s="8" t="s">
        <v>216</v>
      </c>
      <c r="X377" s="6"/>
      <c r="Y377" s="6"/>
      <c r="Z377" s="6"/>
      <c r="AA377" s="6" t="s">
        <v>269</v>
      </c>
    </row>
    <row r="378" spans="1:27" s="4" customFormat="1" ht="51.95" customHeight="1">
      <c r="A378" s="5">
        <v>0</v>
      </c>
      <c r="B378" s="6" t="s">
        <v>2587</v>
      </c>
      <c r="C378" s="7">
        <v>1170</v>
      </c>
      <c r="D378" s="8" t="s">
        <v>2588</v>
      </c>
      <c r="E378" s="8" t="s">
        <v>2589</v>
      </c>
      <c r="F378" s="8" t="s">
        <v>2590</v>
      </c>
      <c r="G378" s="6" t="s">
        <v>37</v>
      </c>
      <c r="H378" s="6" t="s">
        <v>38</v>
      </c>
      <c r="I378" s="8" t="s">
        <v>130</v>
      </c>
      <c r="J378" s="9">
        <v>1</v>
      </c>
      <c r="K378" s="9">
        <v>252</v>
      </c>
      <c r="L378" s="9">
        <v>2024</v>
      </c>
      <c r="M378" s="8" t="s">
        <v>2591</v>
      </c>
      <c r="N378" s="8" t="s">
        <v>41</v>
      </c>
      <c r="O378" s="8" t="s">
        <v>97</v>
      </c>
      <c r="P378" s="6" t="s">
        <v>85</v>
      </c>
      <c r="Q378" s="8" t="s">
        <v>66</v>
      </c>
      <c r="R378" s="10" t="s">
        <v>2592</v>
      </c>
      <c r="S378" s="11" t="s">
        <v>2593</v>
      </c>
      <c r="T378" s="6"/>
      <c r="U378" s="28" t="str">
        <f>HYPERLINK("https://media.infra-m.ru/2083/2083874/cover/2083874.jpg", "Обложка")</f>
        <v>Обложка</v>
      </c>
      <c r="V378" s="28" t="str">
        <f>HYPERLINK("https://znanium.com/catalog/product/2083874", "Ознакомиться")</f>
        <v>Ознакомиться</v>
      </c>
      <c r="W378" s="8" t="s">
        <v>2594</v>
      </c>
      <c r="X378" s="6"/>
      <c r="Y378" s="6"/>
      <c r="Z378" s="6"/>
      <c r="AA378" s="6" t="s">
        <v>91</v>
      </c>
    </row>
    <row r="379" spans="1:27" s="4" customFormat="1" ht="51.95" customHeight="1">
      <c r="A379" s="5">
        <v>0</v>
      </c>
      <c r="B379" s="6" t="s">
        <v>2595</v>
      </c>
      <c r="C379" s="7">
        <v>1160</v>
      </c>
      <c r="D379" s="8" t="s">
        <v>2596</v>
      </c>
      <c r="E379" s="8" t="s">
        <v>2597</v>
      </c>
      <c r="F379" s="8" t="s">
        <v>2437</v>
      </c>
      <c r="G379" s="6" t="s">
        <v>52</v>
      </c>
      <c r="H379" s="6" t="s">
        <v>317</v>
      </c>
      <c r="I379" s="8"/>
      <c r="J379" s="9">
        <v>1</v>
      </c>
      <c r="K379" s="9">
        <v>222</v>
      </c>
      <c r="L379" s="9">
        <v>2022</v>
      </c>
      <c r="M379" s="8" t="s">
        <v>2598</v>
      </c>
      <c r="N379" s="8" t="s">
        <v>41</v>
      </c>
      <c r="O379" s="8" t="s">
        <v>97</v>
      </c>
      <c r="P379" s="6" t="s">
        <v>65</v>
      </c>
      <c r="Q379" s="8" t="s">
        <v>66</v>
      </c>
      <c r="R379" s="10" t="s">
        <v>2599</v>
      </c>
      <c r="S379" s="11"/>
      <c r="T379" s="6"/>
      <c r="U379" s="28" t="str">
        <f>HYPERLINK("https://media.infra-m.ru/1947/1947397/cover/1947397.jpg", "Обложка")</f>
        <v>Обложка</v>
      </c>
      <c r="V379" s="28" t="str">
        <f>HYPERLINK("https://znanium.com/catalog/product/912392", "Ознакомиться")</f>
        <v>Ознакомиться</v>
      </c>
      <c r="W379" s="8" t="s">
        <v>2384</v>
      </c>
      <c r="X379" s="6"/>
      <c r="Y379" s="6"/>
      <c r="Z379" s="6"/>
      <c r="AA379" s="6" t="s">
        <v>57</v>
      </c>
    </row>
    <row r="380" spans="1:27" s="4" customFormat="1" ht="51.95" customHeight="1">
      <c r="A380" s="5">
        <v>0</v>
      </c>
      <c r="B380" s="6" t="s">
        <v>2600</v>
      </c>
      <c r="C380" s="7">
        <v>1994.9</v>
      </c>
      <c r="D380" s="8" t="s">
        <v>2601</v>
      </c>
      <c r="E380" s="8" t="s">
        <v>2602</v>
      </c>
      <c r="F380" s="8" t="s">
        <v>2603</v>
      </c>
      <c r="G380" s="6" t="s">
        <v>121</v>
      </c>
      <c r="H380" s="6" t="s">
        <v>38</v>
      </c>
      <c r="I380" s="8" t="s">
        <v>62</v>
      </c>
      <c r="J380" s="9">
        <v>1</v>
      </c>
      <c r="K380" s="9">
        <v>560</v>
      </c>
      <c r="L380" s="9">
        <v>2023</v>
      </c>
      <c r="M380" s="8" t="s">
        <v>2604</v>
      </c>
      <c r="N380" s="8" t="s">
        <v>41</v>
      </c>
      <c r="O380" s="8" t="s">
        <v>97</v>
      </c>
      <c r="P380" s="6" t="s">
        <v>85</v>
      </c>
      <c r="Q380" s="8" t="s">
        <v>66</v>
      </c>
      <c r="R380" s="10" t="s">
        <v>2605</v>
      </c>
      <c r="S380" s="11"/>
      <c r="T380" s="6"/>
      <c r="U380" s="28" t="str">
        <f>HYPERLINK("https://media.infra-m.ru/1854/1854776/cover/1854776.jpg", "Обложка")</f>
        <v>Обложка</v>
      </c>
      <c r="V380" s="28" t="str">
        <f>HYPERLINK("https://znanium.com/catalog/product/1542312", "Ознакомиться")</f>
        <v>Ознакомиться</v>
      </c>
      <c r="W380" s="8" t="s">
        <v>2384</v>
      </c>
      <c r="X380" s="6"/>
      <c r="Y380" s="6"/>
      <c r="Z380" s="6"/>
      <c r="AA380" s="6" t="s">
        <v>2606</v>
      </c>
    </row>
    <row r="381" spans="1:27" s="4" customFormat="1" ht="51.95" customHeight="1">
      <c r="A381" s="5">
        <v>0</v>
      </c>
      <c r="B381" s="6" t="s">
        <v>2607</v>
      </c>
      <c r="C381" s="7">
        <v>1130</v>
      </c>
      <c r="D381" s="8" t="s">
        <v>2608</v>
      </c>
      <c r="E381" s="8" t="s">
        <v>2609</v>
      </c>
      <c r="F381" s="8" t="s">
        <v>2610</v>
      </c>
      <c r="G381" s="6" t="s">
        <v>121</v>
      </c>
      <c r="H381" s="6" t="s">
        <v>38</v>
      </c>
      <c r="I381" s="8" t="s">
        <v>2423</v>
      </c>
      <c r="J381" s="9">
        <v>1</v>
      </c>
      <c r="K381" s="9">
        <v>237</v>
      </c>
      <c r="L381" s="9">
        <v>2023</v>
      </c>
      <c r="M381" s="8" t="s">
        <v>2611</v>
      </c>
      <c r="N381" s="8" t="s">
        <v>41</v>
      </c>
      <c r="O381" s="8" t="s">
        <v>97</v>
      </c>
      <c r="P381" s="6" t="s">
        <v>65</v>
      </c>
      <c r="Q381" s="8" t="s">
        <v>132</v>
      </c>
      <c r="R381" s="10" t="s">
        <v>2612</v>
      </c>
      <c r="S381" s="11" t="s">
        <v>2613</v>
      </c>
      <c r="T381" s="6"/>
      <c r="U381" s="28" t="str">
        <f>HYPERLINK("https://media.infra-m.ru/2065/2065487/cover/2065487.jpg", "Обложка")</f>
        <v>Обложка</v>
      </c>
      <c r="V381" s="28" t="str">
        <f>HYPERLINK("https://znanium.com/catalog/product/2065487", "Ознакомиться")</f>
        <v>Ознакомиться</v>
      </c>
      <c r="W381" s="8" t="s">
        <v>2426</v>
      </c>
      <c r="X381" s="6" t="s">
        <v>1020</v>
      </c>
      <c r="Y381" s="6"/>
      <c r="Z381" s="6"/>
      <c r="AA381" s="6" t="s">
        <v>574</v>
      </c>
    </row>
    <row r="382" spans="1:27" s="4" customFormat="1" ht="51.95" customHeight="1">
      <c r="A382" s="5">
        <v>0</v>
      </c>
      <c r="B382" s="6" t="s">
        <v>2614</v>
      </c>
      <c r="C382" s="13">
        <v>644</v>
      </c>
      <c r="D382" s="8" t="s">
        <v>2615</v>
      </c>
      <c r="E382" s="8" t="s">
        <v>2616</v>
      </c>
      <c r="F382" s="8" t="s">
        <v>2617</v>
      </c>
      <c r="G382" s="6" t="s">
        <v>52</v>
      </c>
      <c r="H382" s="6" t="s">
        <v>38</v>
      </c>
      <c r="I382" s="8" t="s">
        <v>187</v>
      </c>
      <c r="J382" s="9">
        <v>1</v>
      </c>
      <c r="K382" s="9">
        <v>130</v>
      </c>
      <c r="L382" s="9">
        <v>2023</v>
      </c>
      <c r="M382" s="8" t="s">
        <v>2618</v>
      </c>
      <c r="N382" s="8" t="s">
        <v>41</v>
      </c>
      <c r="O382" s="8" t="s">
        <v>54</v>
      </c>
      <c r="P382" s="6" t="s">
        <v>65</v>
      </c>
      <c r="Q382" s="8" t="s">
        <v>189</v>
      </c>
      <c r="R382" s="10" t="s">
        <v>2619</v>
      </c>
      <c r="S382" s="11" t="s">
        <v>2620</v>
      </c>
      <c r="T382" s="6"/>
      <c r="U382" s="28" t="str">
        <f>HYPERLINK("https://media.infra-m.ru/2006/2006818/cover/2006818.jpg", "Обложка")</f>
        <v>Обложка</v>
      </c>
      <c r="V382" s="28" t="str">
        <f>HYPERLINK("https://znanium.com/catalog/product/1003203", "Ознакомиться")</f>
        <v>Ознакомиться</v>
      </c>
      <c r="W382" s="8" t="s">
        <v>620</v>
      </c>
      <c r="X382" s="6"/>
      <c r="Y382" s="6"/>
      <c r="Z382" s="6"/>
      <c r="AA382" s="6" t="s">
        <v>108</v>
      </c>
    </row>
    <row r="383" spans="1:27" s="4" customFormat="1" ht="51.95" customHeight="1">
      <c r="A383" s="5">
        <v>0</v>
      </c>
      <c r="B383" s="6" t="s">
        <v>2621</v>
      </c>
      <c r="C383" s="13">
        <v>580</v>
      </c>
      <c r="D383" s="8" t="s">
        <v>2622</v>
      </c>
      <c r="E383" s="8" t="s">
        <v>2623</v>
      </c>
      <c r="F383" s="8" t="s">
        <v>2624</v>
      </c>
      <c r="G383" s="6" t="s">
        <v>52</v>
      </c>
      <c r="H383" s="6" t="s">
        <v>122</v>
      </c>
      <c r="I383" s="8" t="s">
        <v>39</v>
      </c>
      <c r="J383" s="9">
        <v>1</v>
      </c>
      <c r="K383" s="9">
        <v>148</v>
      </c>
      <c r="L383" s="9">
        <v>2022</v>
      </c>
      <c r="M383" s="8" t="s">
        <v>2625</v>
      </c>
      <c r="N383" s="8" t="s">
        <v>41</v>
      </c>
      <c r="O383" s="8" t="s">
        <v>42</v>
      </c>
      <c r="P383" s="6" t="s">
        <v>43</v>
      </c>
      <c r="Q383" s="8" t="s">
        <v>961</v>
      </c>
      <c r="R383" s="10" t="s">
        <v>2626</v>
      </c>
      <c r="S383" s="11"/>
      <c r="T383" s="6"/>
      <c r="U383" s="28" t="str">
        <f>HYPERLINK("https://media.infra-m.ru/1859/1859832/cover/1859832.jpg", "Обложка")</f>
        <v>Обложка</v>
      </c>
      <c r="V383" s="28" t="str">
        <f>HYPERLINK("https://znanium.com/catalog/product/1859832", "Ознакомиться")</f>
        <v>Ознакомиться</v>
      </c>
      <c r="W383" s="8" t="s">
        <v>2004</v>
      </c>
      <c r="X383" s="6"/>
      <c r="Y383" s="6"/>
      <c r="Z383" s="6"/>
      <c r="AA383" s="6" t="s">
        <v>57</v>
      </c>
    </row>
    <row r="384" spans="1:27" s="4" customFormat="1" ht="51.95" customHeight="1">
      <c r="A384" s="5">
        <v>0</v>
      </c>
      <c r="B384" s="6" t="s">
        <v>2627</v>
      </c>
      <c r="C384" s="13">
        <v>700</v>
      </c>
      <c r="D384" s="8" t="s">
        <v>2628</v>
      </c>
      <c r="E384" s="8" t="s">
        <v>2629</v>
      </c>
      <c r="F384" s="8" t="s">
        <v>2630</v>
      </c>
      <c r="G384" s="6" t="s">
        <v>121</v>
      </c>
      <c r="H384" s="6" t="s">
        <v>38</v>
      </c>
      <c r="I384" s="8" t="s">
        <v>83</v>
      </c>
      <c r="J384" s="9">
        <v>1</v>
      </c>
      <c r="K384" s="9">
        <v>196</v>
      </c>
      <c r="L384" s="9">
        <v>2020</v>
      </c>
      <c r="M384" s="8" t="s">
        <v>2631</v>
      </c>
      <c r="N384" s="8" t="s">
        <v>41</v>
      </c>
      <c r="O384" s="8" t="s">
        <v>181</v>
      </c>
      <c r="P384" s="6" t="s">
        <v>65</v>
      </c>
      <c r="Q384" s="8" t="s">
        <v>86</v>
      </c>
      <c r="R384" s="10" t="s">
        <v>2632</v>
      </c>
      <c r="S384" s="11"/>
      <c r="T384" s="6"/>
      <c r="U384" s="28" t="str">
        <f>HYPERLINK("https://media.infra-m.ru/1077/1077542/cover/1077542.jpg", "Обложка")</f>
        <v>Обложка</v>
      </c>
      <c r="V384" s="28" t="str">
        <f>HYPERLINK("https://znanium.com/catalog/product/1077542", "Ознакомиться")</f>
        <v>Ознакомиться</v>
      </c>
      <c r="W384" s="8" t="s">
        <v>2633</v>
      </c>
      <c r="X384" s="6"/>
      <c r="Y384" s="6"/>
      <c r="Z384" s="6"/>
      <c r="AA384" s="6" t="s">
        <v>108</v>
      </c>
    </row>
    <row r="385" spans="1:27" s="4" customFormat="1" ht="51.95" customHeight="1">
      <c r="A385" s="5">
        <v>0</v>
      </c>
      <c r="B385" s="6" t="s">
        <v>2634</v>
      </c>
      <c r="C385" s="7">
        <v>1300</v>
      </c>
      <c r="D385" s="8" t="s">
        <v>2635</v>
      </c>
      <c r="E385" s="8" t="s">
        <v>2636</v>
      </c>
      <c r="F385" s="8" t="s">
        <v>2637</v>
      </c>
      <c r="G385" s="6" t="s">
        <v>121</v>
      </c>
      <c r="H385" s="6" t="s">
        <v>38</v>
      </c>
      <c r="I385" s="8" t="s">
        <v>2638</v>
      </c>
      <c r="J385" s="9">
        <v>1</v>
      </c>
      <c r="K385" s="9">
        <v>287</v>
      </c>
      <c r="L385" s="9">
        <v>2023</v>
      </c>
      <c r="M385" s="8" t="s">
        <v>2639</v>
      </c>
      <c r="N385" s="8" t="s">
        <v>41</v>
      </c>
      <c r="O385" s="8" t="s">
        <v>42</v>
      </c>
      <c r="P385" s="6" t="s">
        <v>65</v>
      </c>
      <c r="Q385" s="8" t="s">
        <v>189</v>
      </c>
      <c r="R385" s="10" t="s">
        <v>2640</v>
      </c>
      <c r="S385" s="11" t="s">
        <v>2641</v>
      </c>
      <c r="T385" s="6"/>
      <c r="U385" s="28" t="str">
        <f>HYPERLINK("https://media.infra-m.ru/1911/1911603/cover/1911603.jpg", "Обложка")</f>
        <v>Обложка</v>
      </c>
      <c r="V385" s="28" t="str">
        <f>HYPERLINK("https://znanium.com/catalog/product/1911603", "Ознакомиться")</f>
        <v>Ознакомиться</v>
      </c>
      <c r="W385" s="8" t="s">
        <v>2426</v>
      </c>
      <c r="X385" s="6" t="s">
        <v>628</v>
      </c>
      <c r="Y385" s="6"/>
      <c r="Z385" s="6"/>
      <c r="AA385" s="6" t="s">
        <v>574</v>
      </c>
    </row>
    <row r="386" spans="1:27" s="4" customFormat="1" ht="42" customHeight="1">
      <c r="A386" s="5">
        <v>0</v>
      </c>
      <c r="B386" s="6" t="s">
        <v>2642</v>
      </c>
      <c r="C386" s="7">
        <v>1024.9000000000001</v>
      </c>
      <c r="D386" s="8" t="s">
        <v>2643</v>
      </c>
      <c r="E386" s="8" t="s">
        <v>2644</v>
      </c>
      <c r="F386" s="8" t="s">
        <v>2645</v>
      </c>
      <c r="G386" s="6" t="s">
        <v>121</v>
      </c>
      <c r="H386" s="6" t="s">
        <v>38</v>
      </c>
      <c r="I386" s="8" t="s">
        <v>62</v>
      </c>
      <c r="J386" s="9">
        <v>1</v>
      </c>
      <c r="K386" s="9">
        <v>351</v>
      </c>
      <c r="L386" s="9">
        <v>2018</v>
      </c>
      <c r="M386" s="8" t="s">
        <v>2646</v>
      </c>
      <c r="N386" s="8" t="s">
        <v>41</v>
      </c>
      <c r="O386" s="8" t="s">
        <v>64</v>
      </c>
      <c r="P386" s="6" t="s">
        <v>85</v>
      </c>
      <c r="Q386" s="8" t="s">
        <v>66</v>
      </c>
      <c r="R386" s="10" t="s">
        <v>2647</v>
      </c>
      <c r="S386" s="11"/>
      <c r="T386" s="6"/>
      <c r="U386" s="28" t="str">
        <f>HYPERLINK("https://media.infra-m.ru/0920/0920543/cover/920543.jpg", "Обложка")</f>
        <v>Обложка</v>
      </c>
      <c r="V386" s="28" t="str">
        <f>HYPERLINK("https://znanium.com/catalog/product/1937177", "Ознакомиться")</f>
        <v>Ознакомиться</v>
      </c>
      <c r="W386" s="8" t="s">
        <v>2648</v>
      </c>
      <c r="X386" s="6"/>
      <c r="Y386" s="6" t="s">
        <v>30</v>
      </c>
      <c r="Z386" s="6"/>
      <c r="AA386" s="6" t="s">
        <v>161</v>
      </c>
    </row>
    <row r="387" spans="1:27" s="4" customFormat="1" ht="51.95" customHeight="1">
      <c r="A387" s="5">
        <v>0</v>
      </c>
      <c r="B387" s="6" t="s">
        <v>2649</v>
      </c>
      <c r="C387" s="13">
        <v>920</v>
      </c>
      <c r="D387" s="8" t="s">
        <v>2650</v>
      </c>
      <c r="E387" s="8" t="s">
        <v>2651</v>
      </c>
      <c r="F387" s="8" t="s">
        <v>2652</v>
      </c>
      <c r="G387" s="6" t="s">
        <v>37</v>
      </c>
      <c r="H387" s="6" t="s">
        <v>38</v>
      </c>
      <c r="I387" s="8" t="s">
        <v>62</v>
      </c>
      <c r="J387" s="9">
        <v>1</v>
      </c>
      <c r="K387" s="9">
        <v>225</v>
      </c>
      <c r="L387" s="9">
        <v>2022</v>
      </c>
      <c r="M387" s="8" t="s">
        <v>2653</v>
      </c>
      <c r="N387" s="8" t="s">
        <v>41</v>
      </c>
      <c r="O387" s="8" t="s">
        <v>181</v>
      </c>
      <c r="P387" s="6" t="s">
        <v>2654</v>
      </c>
      <c r="Q387" s="8" t="s">
        <v>132</v>
      </c>
      <c r="R387" s="10" t="s">
        <v>2655</v>
      </c>
      <c r="S387" s="11" t="s">
        <v>2656</v>
      </c>
      <c r="T387" s="6" t="s">
        <v>89</v>
      </c>
      <c r="U387" s="28" t="str">
        <f>HYPERLINK("https://media.infra-m.ru/1862/1862629/cover/1862629.jpg", "Обложка")</f>
        <v>Обложка</v>
      </c>
      <c r="V387" s="28" t="str">
        <f>HYPERLINK("https://znanium.com/catalog/product/1862629", "Ознакомиться")</f>
        <v>Ознакомиться</v>
      </c>
      <c r="W387" s="8" t="s">
        <v>479</v>
      </c>
      <c r="X387" s="6"/>
      <c r="Y387" s="6"/>
      <c r="Z387" s="6"/>
      <c r="AA387" s="6" t="s">
        <v>225</v>
      </c>
    </row>
    <row r="388" spans="1:27" s="4" customFormat="1" ht="51.95" customHeight="1">
      <c r="A388" s="5">
        <v>0</v>
      </c>
      <c r="B388" s="6" t="s">
        <v>2657</v>
      </c>
      <c r="C388" s="7">
        <v>1840</v>
      </c>
      <c r="D388" s="8" t="s">
        <v>2658</v>
      </c>
      <c r="E388" s="8" t="s">
        <v>2659</v>
      </c>
      <c r="F388" s="8" t="s">
        <v>2660</v>
      </c>
      <c r="G388" s="6" t="s">
        <v>37</v>
      </c>
      <c r="H388" s="6" t="s">
        <v>38</v>
      </c>
      <c r="I388" s="8" t="s">
        <v>130</v>
      </c>
      <c r="J388" s="9">
        <v>1</v>
      </c>
      <c r="K388" s="9">
        <v>400</v>
      </c>
      <c r="L388" s="9">
        <v>2024</v>
      </c>
      <c r="M388" s="8" t="s">
        <v>2661</v>
      </c>
      <c r="N388" s="8" t="s">
        <v>41</v>
      </c>
      <c r="O388" s="8" t="s">
        <v>181</v>
      </c>
      <c r="P388" s="6" t="s">
        <v>85</v>
      </c>
      <c r="Q388" s="8" t="s">
        <v>66</v>
      </c>
      <c r="R388" s="10" t="s">
        <v>2662</v>
      </c>
      <c r="S388" s="11" t="s">
        <v>2663</v>
      </c>
      <c r="T388" s="6"/>
      <c r="U388" s="28" t="str">
        <f>HYPERLINK("https://media.infra-m.ru/2029/2029874/cover/2029874.jpg", "Обложка")</f>
        <v>Обложка</v>
      </c>
      <c r="V388" s="28" t="str">
        <f>HYPERLINK("https://znanium.com/catalog/product/2029874", "Ознакомиться")</f>
        <v>Ознакомиться</v>
      </c>
      <c r="W388" s="8" t="s">
        <v>184</v>
      </c>
      <c r="X388" s="6"/>
      <c r="Y388" s="6"/>
      <c r="Z388" s="6"/>
      <c r="AA388" s="6" t="s">
        <v>1268</v>
      </c>
    </row>
    <row r="389" spans="1:27" s="4" customFormat="1" ht="51.95" customHeight="1">
      <c r="A389" s="5">
        <v>0</v>
      </c>
      <c r="B389" s="6" t="s">
        <v>2664</v>
      </c>
      <c r="C389" s="7">
        <v>1484.9</v>
      </c>
      <c r="D389" s="8" t="s">
        <v>2665</v>
      </c>
      <c r="E389" s="8" t="s">
        <v>2666</v>
      </c>
      <c r="F389" s="8" t="s">
        <v>2667</v>
      </c>
      <c r="G389" s="6" t="s">
        <v>37</v>
      </c>
      <c r="H389" s="6" t="s">
        <v>38</v>
      </c>
      <c r="I389" s="8" t="s">
        <v>62</v>
      </c>
      <c r="J389" s="9">
        <v>1</v>
      </c>
      <c r="K389" s="9">
        <v>400</v>
      </c>
      <c r="L389" s="9">
        <v>2021</v>
      </c>
      <c r="M389" s="8" t="s">
        <v>2668</v>
      </c>
      <c r="N389" s="8" t="s">
        <v>41</v>
      </c>
      <c r="O389" s="8" t="s">
        <v>181</v>
      </c>
      <c r="P389" s="6" t="s">
        <v>85</v>
      </c>
      <c r="Q389" s="8" t="s">
        <v>66</v>
      </c>
      <c r="R389" s="10" t="s">
        <v>2662</v>
      </c>
      <c r="S389" s="11" t="s">
        <v>2669</v>
      </c>
      <c r="T389" s="6"/>
      <c r="U389" s="28" t="str">
        <f>HYPERLINK("https://media.infra-m.ru/1811/1811566/cover/1811566.jpg", "Обложка")</f>
        <v>Обложка</v>
      </c>
      <c r="V389" s="28" t="str">
        <f>HYPERLINK("https://znanium.com/catalog/product/2029874", "Ознакомиться")</f>
        <v>Ознакомиться</v>
      </c>
      <c r="W389" s="8" t="s">
        <v>184</v>
      </c>
      <c r="X389" s="6"/>
      <c r="Y389" s="6"/>
      <c r="Z389" s="6"/>
      <c r="AA389" s="6" t="s">
        <v>161</v>
      </c>
    </row>
    <row r="390" spans="1:27" s="4" customFormat="1" ht="51.95" customHeight="1">
      <c r="A390" s="5">
        <v>0</v>
      </c>
      <c r="B390" s="6" t="s">
        <v>2670</v>
      </c>
      <c r="C390" s="7">
        <v>1250</v>
      </c>
      <c r="D390" s="8" t="s">
        <v>2671</v>
      </c>
      <c r="E390" s="8" t="s">
        <v>2672</v>
      </c>
      <c r="F390" s="8" t="s">
        <v>615</v>
      </c>
      <c r="G390" s="6" t="s">
        <v>37</v>
      </c>
      <c r="H390" s="6" t="s">
        <v>38</v>
      </c>
      <c r="I390" s="8" t="s">
        <v>2638</v>
      </c>
      <c r="J390" s="9">
        <v>1</v>
      </c>
      <c r="K390" s="9">
        <v>256</v>
      </c>
      <c r="L390" s="9">
        <v>2024</v>
      </c>
      <c r="M390" s="8" t="s">
        <v>2673</v>
      </c>
      <c r="N390" s="8" t="s">
        <v>41</v>
      </c>
      <c r="O390" s="8" t="s">
        <v>64</v>
      </c>
      <c r="P390" s="6" t="s">
        <v>65</v>
      </c>
      <c r="Q390" s="8" t="s">
        <v>189</v>
      </c>
      <c r="R390" s="10" t="s">
        <v>618</v>
      </c>
      <c r="S390" s="11" t="s">
        <v>2674</v>
      </c>
      <c r="T390" s="6" t="s">
        <v>89</v>
      </c>
      <c r="U390" s="28" t="str">
        <f>HYPERLINK("https://media.infra-m.ru/2113/2113865/cover/2113865.jpg", "Обложка")</f>
        <v>Обложка</v>
      </c>
      <c r="V390" s="28" t="str">
        <f>HYPERLINK("https://znanium.com/catalog/product/2113865", "Ознакомиться")</f>
        <v>Ознакомиться</v>
      </c>
      <c r="W390" s="8" t="s">
        <v>620</v>
      </c>
      <c r="X390" s="6"/>
      <c r="Y390" s="6"/>
      <c r="Z390" s="6" t="s">
        <v>1919</v>
      </c>
      <c r="AA390" s="6" t="s">
        <v>135</v>
      </c>
    </row>
    <row r="391" spans="1:27" s="4" customFormat="1" ht="51.95" customHeight="1">
      <c r="A391" s="5">
        <v>0</v>
      </c>
      <c r="B391" s="6" t="s">
        <v>2675</v>
      </c>
      <c r="C391" s="13">
        <v>934.9</v>
      </c>
      <c r="D391" s="8" t="s">
        <v>2676</v>
      </c>
      <c r="E391" s="8" t="s">
        <v>2677</v>
      </c>
      <c r="F391" s="8" t="s">
        <v>2183</v>
      </c>
      <c r="G391" s="6" t="s">
        <v>52</v>
      </c>
      <c r="H391" s="6" t="s">
        <v>122</v>
      </c>
      <c r="I391" s="8"/>
      <c r="J391" s="9">
        <v>1</v>
      </c>
      <c r="K391" s="9">
        <v>207</v>
      </c>
      <c r="L391" s="9">
        <v>2023</v>
      </c>
      <c r="M391" s="8" t="s">
        <v>2678</v>
      </c>
      <c r="N391" s="8" t="s">
        <v>41</v>
      </c>
      <c r="O391" s="8" t="s">
        <v>181</v>
      </c>
      <c r="P391" s="6" t="s">
        <v>85</v>
      </c>
      <c r="Q391" s="8" t="s">
        <v>66</v>
      </c>
      <c r="R391" s="10" t="s">
        <v>2679</v>
      </c>
      <c r="S391" s="11"/>
      <c r="T391" s="6"/>
      <c r="U391" s="28" t="str">
        <f>HYPERLINK("https://media.infra-m.ru/1906/1906830/cover/1906830.jpg", "Обложка")</f>
        <v>Обложка</v>
      </c>
      <c r="V391" s="28" t="str">
        <f>HYPERLINK("https://znanium.com/catalog/product/1905743", "Ознакомиться")</f>
        <v>Ознакомиться</v>
      </c>
      <c r="W391" s="8" t="s">
        <v>1317</v>
      </c>
      <c r="X391" s="6"/>
      <c r="Y391" s="6"/>
      <c r="Z391" s="6"/>
      <c r="AA391" s="6" t="s">
        <v>320</v>
      </c>
    </row>
    <row r="392" spans="1:27" s="4" customFormat="1" ht="51.95" customHeight="1">
      <c r="A392" s="5">
        <v>0</v>
      </c>
      <c r="B392" s="6" t="s">
        <v>2680</v>
      </c>
      <c r="C392" s="7">
        <v>1674</v>
      </c>
      <c r="D392" s="8" t="s">
        <v>2681</v>
      </c>
      <c r="E392" s="8" t="s">
        <v>2682</v>
      </c>
      <c r="F392" s="8" t="s">
        <v>2683</v>
      </c>
      <c r="G392" s="6" t="s">
        <v>121</v>
      </c>
      <c r="H392" s="6" t="s">
        <v>38</v>
      </c>
      <c r="I392" s="8" t="s">
        <v>62</v>
      </c>
      <c r="J392" s="9">
        <v>1</v>
      </c>
      <c r="K392" s="9">
        <v>364</v>
      </c>
      <c r="L392" s="9">
        <v>2024</v>
      </c>
      <c r="M392" s="8" t="s">
        <v>2684</v>
      </c>
      <c r="N392" s="8" t="s">
        <v>41</v>
      </c>
      <c r="O392" s="8" t="s">
        <v>64</v>
      </c>
      <c r="P392" s="6" t="s">
        <v>65</v>
      </c>
      <c r="Q392" s="8" t="s">
        <v>66</v>
      </c>
      <c r="R392" s="10" t="s">
        <v>2685</v>
      </c>
      <c r="S392" s="11" t="s">
        <v>2686</v>
      </c>
      <c r="T392" s="6"/>
      <c r="U392" s="28" t="str">
        <f>HYPERLINK("https://media.infra-m.ru/2079/2079641/cover/2079641.jpg", "Обложка")</f>
        <v>Обложка</v>
      </c>
      <c r="V392" s="28" t="str">
        <f>HYPERLINK("https://znanium.com/catalog/product/1841682", "Ознакомиться")</f>
        <v>Ознакомиться</v>
      </c>
      <c r="W392" s="8" t="s">
        <v>582</v>
      </c>
      <c r="X392" s="6"/>
      <c r="Y392" s="6"/>
      <c r="Z392" s="6"/>
      <c r="AA392" s="6" t="s">
        <v>269</v>
      </c>
    </row>
    <row r="393" spans="1:27" s="4" customFormat="1" ht="51.95" customHeight="1">
      <c r="A393" s="5">
        <v>0</v>
      </c>
      <c r="B393" s="6" t="s">
        <v>2687</v>
      </c>
      <c r="C393" s="13">
        <v>660</v>
      </c>
      <c r="D393" s="8" t="s">
        <v>2688</v>
      </c>
      <c r="E393" s="8" t="s">
        <v>2689</v>
      </c>
      <c r="F393" s="8" t="s">
        <v>2690</v>
      </c>
      <c r="G393" s="6" t="s">
        <v>37</v>
      </c>
      <c r="H393" s="6" t="s">
        <v>207</v>
      </c>
      <c r="I393" s="8" t="s">
        <v>130</v>
      </c>
      <c r="J393" s="9">
        <v>1</v>
      </c>
      <c r="K393" s="9">
        <v>157</v>
      </c>
      <c r="L393" s="9">
        <v>2024</v>
      </c>
      <c r="M393" s="8" t="s">
        <v>2691</v>
      </c>
      <c r="N393" s="8" t="s">
        <v>41</v>
      </c>
      <c r="O393" s="8" t="s">
        <v>54</v>
      </c>
      <c r="P393" s="6" t="s">
        <v>65</v>
      </c>
      <c r="Q393" s="8" t="s">
        <v>66</v>
      </c>
      <c r="R393" s="10" t="s">
        <v>2692</v>
      </c>
      <c r="S393" s="11" t="s">
        <v>2693</v>
      </c>
      <c r="T393" s="6"/>
      <c r="U393" s="28" t="str">
        <f>HYPERLINK("https://media.infra-m.ru/1891/1891840/cover/1891840.jpg", "Обложка")</f>
        <v>Обложка</v>
      </c>
      <c r="V393" s="28" t="str">
        <f>HYPERLINK("https://znanium.com/catalog/product/1891840", "Ознакомиться")</f>
        <v>Ознакомиться</v>
      </c>
      <c r="W393" s="8" t="s">
        <v>143</v>
      </c>
      <c r="X393" s="6"/>
      <c r="Y393" s="6"/>
      <c r="Z393" s="6"/>
      <c r="AA393" s="6" t="s">
        <v>464</v>
      </c>
    </row>
    <row r="394" spans="1:27" s="4" customFormat="1" ht="51.95" customHeight="1">
      <c r="A394" s="5">
        <v>0</v>
      </c>
      <c r="B394" s="6" t="s">
        <v>2694</v>
      </c>
      <c r="C394" s="13">
        <v>610</v>
      </c>
      <c r="D394" s="8" t="s">
        <v>2695</v>
      </c>
      <c r="E394" s="8" t="s">
        <v>2696</v>
      </c>
      <c r="F394" s="8" t="s">
        <v>2697</v>
      </c>
      <c r="G394" s="6" t="s">
        <v>37</v>
      </c>
      <c r="H394" s="6" t="s">
        <v>38</v>
      </c>
      <c r="I394" s="8" t="s">
        <v>187</v>
      </c>
      <c r="J394" s="9">
        <v>1</v>
      </c>
      <c r="K394" s="9">
        <v>187</v>
      </c>
      <c r="L394" s="9">
        <v>2019</v>
      </c>
      <c r="M394" s="8" t="s">
        <v>2698</v>
      </c>
      <c r="N394" s="8" t="s">
        <v>41</v>
      </c>
      <c r="O394" s="8" t="s">
        <v>64</v>
      </c>
      <c r="P394" s="6" t="s">
        <v>85</v>
      </c>
      <c r="Q394" s="8" t="s">
        <v>189</v>
      </c>
      <c r="R394" s="10" t="s">
        <v>2699</v>
      </c>
      <c r="S394" s="11" t="s">
        <v>2700</v>
      </c>
      <c r="T394" s="6"/>
      <c r="U394" s="28" t="str">
        <f>HYPERLINK("https://media.infra-m.ru/1015/1015854/cover/1015854.jpg", "Обложка")</f>
        <v>Обложка</v>
      </c>
      <c r="V394" s="28" t="str">
        <f>HYPERLINK("https://znanium.com/catalog/product/1927382", "Ознакомиться")</f>
        <v>Ознакомиться</v>
      </c>
      <c r="W394" s="8" t="s">
        <v>1245</v>
      </c>
      <c r="X394" s="6"/>
      <c r="Y394" s="6" t="s">
        <v>30</v>
      </c>
      <c r="Z394" s="6"/>
      <c r="AA394" s="6" t="s">
        <v>667</v>
      </c>
    </row>
    <row r="395" spans="1:27" s="4" customFormat="1" ht="51.95" customHeight="1">
      <c r="A395" s="5">
        <v>0</v>
      </c>
      <c r="B395" s="6" t="s">
        <v>2701</v>
      </c>
      <c r="C395" s="13">
        <v>860</v>
      </c>
      <c r="D395" s="8" t="s">
        <v>2702</v>
      </c>
      <c r="E395" s="8" t="s">
        <v>2703</v>
      </c>
      <c r="F395" s="8" t="s">
        <v>2704</v>
      </c>
      <c r="G395" s="6" t="s">
        <v>37</v>
      </c>
      <c r="H395" s="6" t="s">
        <v>38</v>
      </c>
      <c r="I395" s="8" t="s">
        <v>187</v>
      </c>
      <c r="J395" s="9">
        <v>1</v>
      </c>
      <c r="K395" s="9">
        <v>190</v>
      </c>
      <c r="L395" s="9">
        <v>2023</v>
      </c>
      <c r="M395" s="8" t="s">
        <v>2705</v>
      </c>
      <c r="N395" s="8" t="s">
        <v>41</v>
      </c>
      <c r="O395" s="8" t="s">
        <v>64</v>
      </c>
      <c r="P395" s="6" t="s">
        <v>85</v>
      </c>
      <c r="Q395" s="8" t="s">
        <v>189</v>
      </c>
      <c r="R395" s="10" t="s">
        <v>2699</v>
      </c>
      <c r="S395" s="11" t="s">
        <v>2700</v>
      </c>
      <c r="T395" s="6"/>
      <c r="U395" s="28" t="str">
        <f>HYPERLINK("https://media.infra-m.ru/1927/1927382/cover/1927382.jpg", "Обложка")</f>
        <v>Обложка</v>
      </c>
      <c r="V395" s="28" t="str">
        <f>HYPERLINK("https://znanium.com/catalog/product/1927382", "Ознакомиться")</f>
        <v>Ознакомиться</v>
      </c>
      <c r="W395" s="8" t="s">
        <v>1245</v>
      </c>
      <c r="X395" s="6"/>
      <c r="Y395" s="6" t="s">
        <v>30</v>
      </c>
      <c r="Z395" s="6"/>
      <c r="AA395" s="6" t="s">
        <v>2706</v>
      </c>
    </row>
    <row r="396" spans="1:27" s="4" customFormat="1" ht="51.95" customHeight="1">
      <c r="A396" s="5">
        <v>0</v>
      </c>
      <c r="B396" s="6" t="s">
        <v>2707</v>
      </c>
      <c r="C396" s="7">
        <v>1730</v>
      </c>
      <c r="D396" s="8" t="s">
        <v>2708</v>
      </c>
      <c r="E396" s="8" t="s">
        <v>2709</v>
      </c>
      <c r="F396" s="8" t="s">
        <v>2710</v>
      </c>
      <c r="G396" s="6" t="s">
        <v>121</v>
      </c>
      <c r="H396" s="6" t="s">
        <v>38</v>
      </c>
      <c r="I396" s="8" t="s">
        <v>130</v>
      </c>
      <c r="J396" s="9">
        <v>1</v>
      </c>
      <c r="K396" s="9">
        <v>374</v>
      </c>
      <c r="L396" s="9">
        <v>2024</v>
      </c>
      <c r="M396" s="8" t="s">
        <v>2711</v>
      </c>
      <c r="N396" s="8" t="s">
        <v>41</v>
      </c>
      <c r="O396" s="8" t="s">
        <v>64</v>
      </c>
      <c r="P396" s="6" t="s">
        <v>65</v>
      </c>
      <c r="Q396" s="8" t="s">
        <v>132</v>
      </c>
      <c r="R396" s="10" t="s">
        <v>2712</v>
      </c>
      <c r="S396" s="11" t="s">
        <v>2713</v>
      </c>
      <c r="T396" s="6"/>
      <c r="U396" s="28" t="str">
        <f>HYPERLINK("https://media.infra-m.ru/1477/1477254/cover/1477254.jpg", "Обложка")</f>
        <v>Обложка</v>
      </c>
      <c r="V396" s="28" t="str">
        <f>HYPERLINK("https://znanium.com/catalog/product/1477254", "Ознакомиться")</f>
        <v>Ознакомиться</v>
      </c>
      <c r="W396" s="8" t="s">
        <v>1415</v>
      </c>
      <c r="X396" s="6" t="s">
        <v>1002</v>
      </c>
      <c r="Y396" s="6"/>
      <c r="Z396" s="6"/>
      <c r="AA396" s="6" t="s">
        <v>387</v>
      </c>
    </row>
    <row r="397" spans="1:27" s="4" customFormat="1" ht="51.95" customHeight="1">
      <c r="A397" s="5">
        <v>0</v>
      </c>
      <c r="B397" s="6" t="s">
        <v>2714</v>
      </c>
      <c r="C397" s="7">
        <v>1604.9</v>
      </c>
      <c r="D397" s="8" t="s">
        <v>2715</v>
      </c>
      <c r="E397" s="8" t="s">
        <v>2716</v>
      </c>
      <c r="F397" s="8" t="s">
        <v>2717</v>
      </c>
      <c r="G397" s="6" t="s">
        <v>52</v>
      </c>
      <c r="H397" s="6" t="s">
        <v>38</v>
      </c>
      <c r="I397" s="8" t="s">
        <v>130</v>
      </c>
      <c r="J397" s="9">
        <v>1</v>
      </c>
      <c r="K397" s="9">
        <v>357</v>
      </c>
      <c r="L397" s="9">
        <v>2020</v>
      </c>
      <c r="M397" s="8" t="s">
        <v>2718</v>
      </c>
      <c r="N397" s="8" t="s">
        <v>41</v>
      </c>
      <c r="O397" s="8" t="s">
        <v>64</v>
      </c>
      <c r="P397" s="6" t="s">
        <v>65</v>
      </c>
      <c r="Q397" s="8" t="s">
        <v>66</v>
      </c>
      <c r="R397" s="10" t="s">
        <v>2712</v>
      </c>
      <c r="S397" s="11" t="s">
        <v>2719</v>
      </c>
      <c r="T397" s="6"/>
      <c r="U397" s="28" t="str">
        <f>HYPERLINK("https://media.infra-m.ru/1915/1915776/cover/1915776.jpg", "Обложка")</f>
        <v>Обложка</v>
      </c>
      <c r="V397" s="28" t="str">
        <f>HYPERLINK("https://znanium.com/catalog/product/1477254", "Ознакомиться")</f>
        <v>Ознакомиться</v>
      </c>
      <c r="W397" s="8" t="s">
        <v>1415</v>
      </c>
      <c r="X397" s="6"/>
      <c r="Y397" s="6"/>
      <c r="Z397" s="6"/>
      <c r="AA397" s="6" t="s">
        <v>559</v>
      </c>
    </row>
    <row r="398" spans="1:27" s="4" customFormat="1" ht="51.95" customHeight="1">
      <c r="A398" s="5">
        <v>0</v>
      </c>
      <c r="B398" s="6" t="s">
        <v>2720</v>
      </c>
      <c r="C398" s="7">
        <v>1010</v>
      </c>
      <c r="D398" s="8" t="s">
        <v>2721</v>
      </c>
      <c r="E398" s="8" t="s">
        <v>2722</v>
      </c>
      <c r="F398" s="8" t="s">
        <v>2723</v>
      </c>
      <c r="G398" s="6" t="s">
        <v>37</v>
      </c>
      <c r="H398" s="6" t="s">
        <v>38</v>
      </c>
      <c r="I398" s="8" t="s">
        <v>62</v>
      </c>
      <c r="J398" s="9">
        <v>1</v>
      </c>
      <c r="K398" s="9">
        <v>225</v>
      </c>
      <c r="L398" s="9">
        <v>2023</v>
      </c>
      <c r="M398" s="8" t="s">
        <v>2724</v>
      </c>
      <c r="N398" s="8" t="s">
        <v>41</v>
      </c>
      <c r="O398" s="8" t="s">
        <v>64</v>
      </c>
      <c r="P398" s="6" t="s">
        <v>65</v>
      </c>
      <c r="Q398" s="8" t="s">
        <v>66</v>
      </c>
      <c r="R398" s="10" t="s">
        <v>2725</v>
      </c>
      <c r="S398" s="11" t="s">
        <v>2726</v>
      </c>
      <c r="T398" s="6"/>
      <c r="U398" s="28" t="str">
        <f>HYPERLINK("https://media.infra-m.ru/1909/1909204/cover/1909204.jpg", "Обложка")</f>
        <v>Обложка</v>
      </c>
      <c r="V398" s="28" t="str">
        <f>HYPERLINK("https://znanium.com/catalog/product/1893806", "Ознакомиться")</f>
        <v>Ознакомиться</v>
      </c>
      <c r="W398" s="8" t="s">
        <v>359</v>
      </c>
      <c r="X398" s="6"/>
      <c r="Y398" s="6"/>
      <c r="Z398" s="6"/>
      <c r="AA398" s="6" t="s">
        <v>193</v>
      </c>
    </row>
    <row r="399" spans="1:27" s="4" customFormat="1" ht="51.95" customHeight="1">
      <c r="A399" s="5">
        <v>0</v>
      </c>
      <c r="B399" s="6" t="s">
        <v>2727</v>
      </c>
      <c r="C399" s="7">
        <v>1020</v>
      </c>
      <c r="D399" s="8" t="s">
        <v>2728</v>
      </c>
      <c r="E399" s="8" t="s">
        <v>2722</v>
      </c>
      <c r="F399" s="8" t="s">
        <v>2723</v>
      </c>
      <c r="G399" s="6" t="s">
        <v>121</v>
      </c>
      <c r="H399" s="6" t="s">
        <v>38</v>
      </c>
      <c r="I399" s="8" t="s">
        <v>187</v>
      </c>
      <c r="J399" s="9">
        <v>1</v>
      </c>
      <c r="K399" s="9">
        <v>225</v>
      </c>
      <c r="L399" s="9">
        <v>2023</v>
      </c>
      <c r="M399" s="8" t="s">
        <v>2729</v>
      </c>
      <c r="N399" s="8" t="s">
        <v>41</v>
      </c>
      <c r="O399" s="8" t="s">
        <v>64</v>
      </c>
      <c r="P399" s="6" t="s">
        <v>65</v>
      </c>
      <c r="Q399" s="8" t="s">
        <v>189</v>
      </c>
      <c r="R399" s="10" t="s">
        <v>991</v>
      </c>
      <c r="S399" s="11" t="s">
        <v>2730</v>
      </c>
      <c r="T399" s="6"/>
      <c r="U399" s="28" t="str">
        <f>HYPERLINK("https://media.infra-m.ru/1017/1017369/cover/1017369.jpg", "Обложка")</f>
        <v>Обложка</v>
      </c>
      <c r="V399" s="28" t="str">
        <f>HYPERLINK("https://znanium.com/catalog/product/1017369", "Ознакомиться")</f>
        <v>Ознакомиться</v>
      </c>
      <c r="W399" s="8" t="s">
        <v>359</v>
      </c>
      <c r="X399" s="6" t="s">
        <v>628</v>
      </c>
      <c r="Y399" s="6"/>
      <c r="Z399" s="6" t="s">
        <v>192</v>
      </c>
      <c r="AA399" s="6" t="s">
        <v>574</v>
      </c>
    </row>
    <row r="400" spans="1:27" s="4" customFormat="1" ht="51.95" customHeight="1">
      <c r="A400" s="5">
        <v>0</v>
      </c>
      <c r="B400" s="6" t="s">
        <v>2731</v>
      </c>
      <c r="C400" s="13">
        <v>490</v>
      </c>
      <c r="D400" s="8" t="s">
        <v>2732</v>
      </c>
      <c r="E400" s="8" t="s">
        <v>2733</v>
      </c>
      <c r="F400" s="8" t="s">
        <v>2734</v>
      </c>
      <c r="G400" s="6" t="s">
        <v>52</v>
      </c>
      <c r="H400" s="6" t="s">
        <v>38</v>
      </c>
      <c r="I400" s="8" t="s">
        <v>2735</v>
      </c>
      <c r="J400" s="9">
        <v>1</v>
      </c>
      <c r="K400" s="9">
        <v>108</v>
      </c>
      <c r="L400" s="9">
        <v>2023</v>
      </c>
      <c r="M400" s="8" t="s">
        <v>2736</v>
      </c>
      <c r="N400" s="8" t="s">
        <v>41</v>
      </c>
      <c r="O400" s="8" t="s">
        <v>54</v>
      </c>
      <c r="P400" s="6" t="s">
        <v>65</v>
      </c>
      <c r="Q400" s="8" t="s">
        <v>132</v>
      </c>
      <c r="R400" s="10" t="s">
        <v>2737</v>
      </c>
      <c r="S400" s="11"/>
      <c r="T400" s="6"/>
      <c r="U400" s="28" t="str">
        <f>HYPERLINK("https://media.infra-m.ru/2030/2030760/cover/2030760.jpg", "Обложка")</f>
        <v>Обложка</v>
      </c>
      <c r="V400" s="28" t="str">
        <f>HYPERLINK("https://znanium.com/catalog/product/2030760", "Ознакомиться")</f>
        <v>Ознакомиться</v>
      </c>
      <c r="W400" s="8" t="s">
        <v>2738</v>
      </c>
      <c r="X400" s="6"/>
      <c r="Y400" s="6"/>
      <c r="Z400" s="6"/>
      <c r="AA400" s="6" t="s">
        <v>193</v>
      </c>
    </row>
    <row r="401" spans="1:27" s="4" customFormat="1" ht="51.95" customHeight="1">
      <c r="A401" s="5">
        <v>0</v>
      </c>
      <c r="B401" s="6" t="s">
        <v>2739</v>
      </c>
      <c r="C401" s="13">
        <v>790</v>
      </c>
      <c r="D401" s="8" t="s">
        <v>2740</v>
      </c>
      <c r="E401" s="8" t="s">
        <v>2741</v>
      </c>
      <c r="F401" s="8" t="s">
        <v>2742</v>
      </c>
      <c r="G401" s="6" t="s">
        <v>37</v>
      </c>
      <c r="H401" s="6" t="s">
        <v>38</v>
      </c>
      <c r="I401" s="8" t="s">
        <v>62</v>
      </c>
      <c r="J401" s="9">
        <v>1</v>
      </c>
      <c r="K401" s="9">
        <v>189</v>
      </c>
      <c r="L401" s="9">
        <v>2022</v>
      </c>
      <c r="M401" s="8" t="s">
        <v>2743</v>
      </c>
      <c r="N401" s="8" t="s">
        <v>41</v>
      </c>
      <c r="O401" s="8" t="s">
        <v>54</v>
      </c>
      <c r="P401" s="6" t="s">
        <v>65</v>
      </c>
      <c r="Q401" s="8" t="s">
        <v>66</v>
      </c>
      <c r="R401" s="10" t="s">
        <v>2744</v>
      </c>
      <c r="S401" s="11" t="s">
        <v>2745</v>
      </c>
      <c r="T401" s="6"/>
      <c r="U401" s="28" t="str">
        <f>HYPERLINK("https://media.infra-m.ru/1873/1873269/cover/1873269.jpg", "Обложка")</f>
        <v>Обложка</v>
      </c>
      <c r="V401" s="28" t="str">
        <f>HYPERLINK("https://znanium.com/catalog/product/1873269", "Ознакомиться")</f>
        <v>Ознакомиться</v>
      </c>
      <c r="W401" s="8" t="s">
        <v>699</v>
      </c>
      <c r="X401" s="6"/>
      <c r="Y401" s="6"/>
      <c r="Z401" s="6"/>
      <c r="AA401" s="6" t="s">
        <v>91</v>
      </c>
    </row>
    <row r="402" spans="1:27" s="4" customFormat="1" ht="51.95" customHeight="1">
      <c r="A402" s="5">
        <v>0</v>
      </c>
      <c r="B402" s="6" t="s">
        <v>2746</v>
      </c>
      <c r="C402" s="13">
        <v>774</v>
      </c>
      <c r="D402" s="8" t="s">
        <v>2747</v>
      </c>
      <c r="E402" s="8" t="s">
        <v>2748</v>
      </c>
      <c r="F402" s="8" t="s">
        <v>1875</v>
      </c>
      <c r="G402" s="6" t="s">
        <v>52</v>
      </c>
      <c r="H402" s="6" t="s">
        <v>38</v>
      </c>
      <c r="I402" s="8" t="s">
        <v>62</v>
      </c>
      <c r="J402" s="9">
        <v>1</v>
      </c>
      <c r="K402" s="9">
        <v>168</v>
      </c>
      <c r="L402" s="9">
        <v>2024</v>
      </c>
      <c r="M402" s="8" t="s">
        <v>2749</v>
      </c>
      <c r="N402" s="8" t="s">
        <v>41</v>
      </c>
      <c r="O402" s="8" t="s">
        <v>54</v>
      </c>
      <c r="P402" s="6" t="s">
        <v>65</v>
      </c>
      <c r="Q402" s="8" t="s">
        <v>66</v>
      </c>
      <c r="R402" s="10" t="s">
        <v>1877</v>
      </c>
      <c r="S402" s="11" t="s">
        <v>2750</v>
      </c>
      <c r="T402" s="6"/>
      <c r="U402" s="28" t="str">
        <f>HYPERLINK("https://media.infra-m.ru/2118/2118094/cover/2118094.jpg", "Обложка")</f>
        <v>Обложка</v>
      </c>
      <c r="V402" s="28" t="str">
        <f>HYPERLINK("https://znanium.com/catalog/product/1843639", "Ознакомиться")</f>
        <v>Ознакомиться</v>
      </c>
      <c r="W402" s="8" t="s">
        <v>216</v>
      </c>
      <c r="X402" s="6"/>
      <c r="Y402" s="6"/>
      <c r="Z402" s="6"/>
      <c r="AA402" s="6" t="s">
        <v>161</v>
      </c>
    </row>
    <row r="403" spans="1:27" s="4" customFormat="1" ht="51.95" customHeight="1">
      <c r="A403" s="5">
        <v>0</v>
      </c>
      <c r="B403" s="6" t="s">
        <v>2751</v>
      </c>
      <c r="C403" s="13">
        <v>840</v>
      </c>
      <c r="D403" s="8" t="s">
        <v>2752</v>
      </c>
      <c r="E403" s="8" t="s">
        <v>2753</v>
      </c>
      <c r="F403" s="8" t="s">
        <v>615</v>
      </c>
      <c r="G403" s="6" t="s">
        <v>37</v>
      </c>
      <c r="H403" s="6" t="s">
        <v>355</v>
      </c>
      <c r="I403" s="8" t="s">
        <v>130</v>
      </c>
      <c r="J403" s="9">
        <v>1</v>
      </c>
      <c r="K403" s="9">
        <v>221</v>
      </c>
      <c r="L403" s="9">
        <v>2022</v>
      </c>
      <c r="M403" s="8" t="s">
        <v>2754</v>
      </c>
      <c r="N403" s="8" t="s">
        <v>41</v>
      </c>
      <c r="O403" s="8" t="s">
        <v>181</v>
      </c>
      <c r="P403" s="6" t="s">
        <v>65</v>
      </c>
      <c r="Q403" s="8" t="s">
        <v>66</v>
      </c>
      <c r="R403" s="10" t="s">
        <v>2755</v>
      </c>
      <c r="S403" s="11" t="s">
        <v>2756</v>
      </c>
      <c r="T403" s="6"/>
      <c r="U403" s="28" t="str">
        <f>HYPERLINK("https://media.infra-m.ru/1851/1851899/cover/1851899.jpg", "Обложка")</f>
        <v>Обложка</v>
      </c>
      <c r="V403" s="28" t="str">
        <f>HYPERLINK("https://znanium.com/catalog/product/1851899", "Ознакомиться")</f>
        <v>Ознакомиться</v>
      </c>
      <c r="W403" s="8" t="s">
        <v>620</v>
      </c>
      <c r="X403" s="6"/>
      <c r="Y403" s="6"/>
      <c r="Z403" s="6"/>
      <c r="AA403" s="6" t="s">
        <v>57</v>
      </c>
    </row>
    <row r="404" spans="1:27" s="4" customFormat="1" ht="51.95" customHeight="1">
      <c r="A404" s="5">
        <v>0</v>
      </c>
      <c r="B404" s="6" t="s">
        <v>2757</v>
      </c>
      <c r="C404" s="7">
        <v>1269</v>
      </c>
      <c r="D404" s="8" t="s">
        <v>2758</v>
      </c>
      <c r="E404" s="8" t="s">
        <v>2759</v>
      </c>
      <c r="F404" s="8" t="s">
        <v>2760</v>
      </c>
      <c r="G404" s="6" t="s">
        <v>37</v>
      </c>
      <c r="H404" s="6" t="s">
        <v>207</v>
      </c>
      <c r="I404" s="8" t="s">
        <v>130</v>
      </c>
      <c r="J404" s="9">
        <v>1</v>
      </c>
      <c r="K404" s="9">
        <v>277</v>
      </c>
      <c r="L404" s="9">
        <v>2023</v>
      </c>
      <c r="M404" s="8" t="s">
        <v>2761</v>
      </c>
      <c r="N404" s="8" t="s">
        <v>41</v>
      </c>
      <c r="O404" s="8" t="s">
        <v>64</v>
      </c>
      <c r="P404" s="6" t="s">
        <v>65</v>
      </c>
      <c r="Q404" s="8" t="s">
        <v>132</v>
      </c>
      <c r="R404" s="10" t="s">
        <v>2762</v>
      </c>
      <c r="S404" s="11" t="s">
        <v>2763</v>
      </c>
      <c r="T404" s="6"/>
      <c r="U404" s="28" t="str">
        <f>HYPERLINK("https://media.infra-m.ru/2017/2017317/cover/2017317.jpg", "Обложка")</f>
        <v>Обложка</v>
      </c>
      <c r="V404" s="28" t="str">
        <f>HYPERLINK("https://znanium.com/catalog/product/2017317", "Ознакомиться")</f>
        <v>Ознакомиться</v>
      </c>
      <c r="W404" s="8" t="s">
        <v>2384</v>
      </c>
      <c r="X404" s="6"/>
      <c r="Y404" s="6" t="s">
        <v>30</v>
      </c>
      <c r="Z404" s="6"/>
      <c r="AA404" s="6" t="s">
        <v>57</v>
      </c>
    </row>
    <row r="405" spans="1:27" s="4" customFormat="1" ht="42" customHeight="1">
      <c r="A405" s="5">
        <v>0</v>
      </c>
      <c r="B405" s="6" t="s">
        <v>2764</v>
      </c>
      <c r="C405" s="13">
        <v>499.9</v>
      </c>
      <c r="D405" s="8" t="s">
        <v>2765</v>
      </c>
      <c r="E405" s="8" t="s">
        <v>2766</v>
      </c>
      <c r="F405" s="8" t="s">
        <v>2767</v>
      </c>
      <c r="G405" s="6" t="s">
        <v>121</v>
      </c>
      <c r="H405" s="6" t="s">
        <v>122</v>
      </c>
      <c r="I405" s="8" t="s">
        <v>83</v>
      </c>
      <c r="J405" s="9">
        <v>1</v>
      </c>
      <c r="K405" s="9">
        <v>228</v>
      </c>
      <c r="L405" s="9">
        <v>2017</v>
      </c>
      <c r="M405" s="8" t="s">
        <v>2768</v>
      </c>
      <c r="N405" s="8" t="s">
        <v>41</v>
      </c>
      <c r="O405" s="8" t="s">
        <v>42</v>
      </c>
      <c r="P405" s="6" t="s">
        <v>65</v>
      </c>
      <c r="Q405" s="8" t="s">
        <v>86</v>
      </c>
      <c r="R405" s="10" t="s">
        <v>2769</v>
      </c>
      <c r="S405" s="11"/>
      <c r="T405" s="6" t="s">
        <v>89</v>
      </c>
      <c r="U405" s="28" t="str">
        <f>HYPERLINK("https://media.infra-m.ru/0774/0774413/cover/774413.jpg", "Обложка")</f>
        <v>Обложка</v>
      </c>
      <c r="V405" s="28" t="str">
        <f>HYPERLINK("https://znanium.com/catalog/product/1891391", "Ознакомиться")</f>
        <v>Ознакомиться</v>
      </c>
      <c r="W405" s="8" t="s">
        <v>1935</v>
      </c>
      <c r="X405" s="6"/>
      <c r="Y405" s="6"/>
      <c r="Z405" s="6"/>
      <c r="AA405" s="6" t="s">
        <v>1357</v>
      </c>
    </row>
    <row r="406" spans="1:27" s="4" customFormat="1" ht="42" customHeight="1">
      <c r="A406" s="5">
        <v>0</v>
      </c>
      <c r="B406" s="6" t="s">
        <v>2770</v>
      </c>
      <c r="C406" s="7">
        <v>1354.9</v>
      </c>
      <c r="D406" s="8" t="s">
        <v>2771</v>
      </c>
      <c r="E406" s="8" t="s">
        <v>2772</v>
      </c>
      <c r="F406" s="8" t="s">
        <v>2773</v>
      </c>
      <c r="G406" s="6" t="s">
        <v>37</v>
      </c>
      <c r="H406" s="6" t="s">
        <v>122</v>
      </c>
      <c r="I406" s="8" t="s">
        <v>298</v>
      </c>
      <c r="J406" s="9">
        <v>1</v>
      </c>
      <c r="K406" s="9">
        <v>298</v>
      </c>
      <c r="L406" s="9">
        <v>2023</v>
      </c>
      <c r="M406" s="8" t="s">
        <v>2774</v>
      </c>
      <c r="N406" s="8" t="s">
        <v>41</v>
      </c>
      <c r="O406" s="8" t="s">
        <v>42</v>
      </c>
      <c r="P406" s="6" t="s">
        <v>65</v>
      </c>
      <c r="Q406" s="8" t="s">
        <v>86</v>
      </c>
      <c r="R406" s="10" t="s">
        <v>2769</v>
      </c>
      <c r="S406" s="11"/>
      <c r="T406" s="6" t="s">
        <v>89</v>
      </c>
      <c r="U406" s="28" t="str">
        <f>HYPERLINK("https://media.infra-m.ru/1908/1908201/cover/1908201.jpg", "Обложка")</f>
        <v>Обложка</v>
      </c>
      <c r="V406" s="28" t="str">
        <f>HYPERLINK("https://znanium.com/catalog/product/1891391", "Ознакомиться")</f>
        <v>Ознакомиться</v>
      </c>
      <c r="W406" s="8" t="s">
        <v>1935</v>
      </c>
      <c r="X406" s="6"/>
      <c r="Y406" s="6"/>
      <c r="Z406" s="6"/>
      <c r="AA406" s="6" t="s">
        <v>2775</v>
      </c>
    </row>
    <row r="407" spans="1:27" s="4" customFormat="1" ht="42" customHeight="1">
      <c r="A407" s="5">
        <v>0</v>
      </c>
      <c r="B407" s="6" t="s">
        <v>2776</v>
      </c>
      <c r="C407" s="13">
        <v>900</v>
      </c>
      <c r="D407" s="8" t="s">
        <v>2777</v>
      </c>
      <c r="E407" s="8" t="s">
        <v>2778</v>
      </c>
      <c r="F407" s="8" t="s">
        <v>2779</v>
      </c>
      <c r="G407" s="6" t="s">
        <v>37</v>
      </c>
      <c r="H407" s="6" t="s">
        <v>122</v>
      </c>
      <c r="I407" s="8" t="s">
        <v>83</v>
      </c>
      <c r="J407" s="9">
        <v>1</v>
      </c>
      <c r="K407" s="9">
        <v>238</v>
      </c>
      <c r="L407" s="9">
        <v>2021</v>
      </c>
      <c r="M407" s="8" t="s">
        <v>2780</v>
      </c>
      <c r="N407" s="8" t="s">
        <v>41</v>
      </c>
      <c r="O407" s="8" t="s">
        <v>42</v>
      </c>
      <c r="P407" s="6" t="s">
        <v>65</v>
      </c>
      <c r="Q407" s="8" t="s">
        <v>86</v>
      </c>
      <c r="R407" s="10" t="s">
        <v>2769</v>
      </c>
      <c r="S407" s="11"/>
      <c r="T407" s="6" t="s">
        <v>89</v>
      </c>
      <c r="U407" s="28" t="str">
        <f>HYPERLINK("https://media.infra-m.ru/1245/1245074/cover/1245074.jpg", "Обложка")</f>
        <v>Обложка</v>
      </c>
      <c r="V407" s="28" t="str">
        <f>HYPERLINK("https://znanium.com/catalog/product/1891391", "Ознакомиться")</f>
        <v>Ознакомиться</v>
      </c>
      <c r="W407" s="8" t="s">
        <v>1935</v>
      </c>
      <c r="X407" s="6"/>
      <c r="Y407" s="6"/>
      <c r="Z407" s="6"/>
      <c r="AA407" s="6" t="s">
        <v>2781</v>
      </c>
    </row>
    <row r="408" spans="1:27" s="4" customFormat="1" ht="51.95" customHeight="1">
      <c r="A408" s="5">
        <v>0</v>
      </c>
      <c r="B408" s="6" t="s">
        <v>2782</v>
      </c>
      <c r="C408" s="7">
        <v>1190</v>
      </c>
      <c r="D408" s="8" t="s">
        <v>2783</v>
      </c>
      <c r="E408" s="8" t="s">
        <v>2784</v>
      </c>
      <c r="F408" s="8" t="s">
        <v>2785</v>
      </c>
      <c r="G408" s="6" t="s">
        <v>37</v>
      </c>
      <c r="H408" s="6" t="s">
        <v>38</v>
      </c>
      <c r="I408" s="8" t="s">
        <v>62</v>
      </c>
      <c r="J408" s="9">
        <v>1</v>
      </c>
      <c r="K408" s="9">
        <v>257</v>
      </c>
      <c r="L408" s="9">
        <v>2023</v>
      </c>
      <c r="M408" s="8" t="s">
        <v>2786</v>
      </c>
      <c r="N408" s="8" t="s">
        <v>41</v>
      </c>
      <c r="O408" s="8" t="s">
        <v>42</v>
      </c>
      <c r="P408" s="6" t="s">
        <v>85</v>
      </c>
      <c r="Q408" s="8" t="s">
        <v>66</v>
      </c>
      <c r="R408" s="10" t="s">
        <v>2787</v>
      </c>
      <c r="S408" s="11" t="s">
        <v>2788</v>
      </c>
      <c r="T408" s="6"/>
      <c r="U408" s="28" t="str">
        <f>HYPERLINK("https://media.infra-m.ru/1981/1981637/cover/1981637.jpg", "Обложка")</f>
        <v>Обложка</v>
      </c>
      <c r="V408" s="28" t="str">
        <f>HYPERLINK("https://znanium.com/catalog/product/1981637", "Ознакомиться")</f>
        <v>Ознакомиться</v>
      </c>
      <c r="W408" s="8" t="s">
        <v>1317</v>
      </c>
      <c r="X408" s="6"/>
      <c r="Y408" s="6"/>
      <c r="Z408" s="6"/>
      <c r="AA408" s="6" t="s">
        <v>78</v>
      </c>
    </row>
    <row r="409" spans="1:27" s="4" customFormat="1" ht="51.95" customHeight="1">
      <c r="A409" s="5">
        <v>0</v>
      </c>
      <c r="B409" s="6" t="s">
        <v>2789</v>
      </c>
      <c r="C409" s="7">
        <v>1224</v>
      </c>
      <c r="D409" s="8" t="s">
        <v>2790</v>
      </c>
      <c r="E409" s="8" t="s">
        <v>2791</v>
      </c>
      <c r="F409" s="8" t="s">
        <v>2792</v>
      </c>
      <c r="G409" s="6" t="s">
        <v>37</v>
      </c>
      <c r="H409" s="6" t="s">
        <v>207</v>
      </c>
      <c r="I409" s="8" t="s">
        <v>62</v>
      </c>
      <c r="J409" s="9">
        <v>1</v>
      </c>
      <c r="K409" s="9">
        <v>271</v>
      </c>
      <c r="L409" s="9">
        <v>2023</v>
      </c>
      <c r="M409" s="8" t="s">
        <v>2793</v>
      </c>
      <c r="N409" s="8" t="s">
        <v>41</v>
      </c>
      <c r="O409" s="8" t="s">
        <v>42</v>
      </c>
      <c r="P409" s="6" t="s">
        <v>65</v>
      </c>
      <c r="Q409" s="8" t="s">
        <v>66</v>
      </c>
      <c r="R409" s="10" t="s">
        <v>2794</v>
      </c>
      <c r="S409" s="11" t="s">
        <v>2795</v>
      </c>
      <c r="T409" s="6"/>
      <c r="U409" s="28" t="str">
        <f>HYPERLINK("https://media.infra-m.ru/1940/1940923/cover/1940923.jpg", "Обложка")</f>
        <v>Обложка</v>
      </c>
      <c r="V409" s="28" t="str">
        <f>HYPERLINK("https://znanium.com/catalog/product/1913858", "Ознакомиться")</f>
        <v>Ознакомиться</v>
      </c>
      <c r="W409" s="8" t="s">
        <v>2796</v>
      </c>
      <c r="X409" s="6"/>
      <c r="Y409" s="6"/>
      <c r="Z409" s="6"/>
      <c r="AA409" s="6" t="s">
        <v>254</v>
      </c>
    </row>
    <row r="410" spans="1:27" s="4" customFormat="1" ht="51.95" customHeight="1">
      <c r="A410" s="5">
        <v>0</v>
      </c>
      <c r="B410" s="6" t="s">
        <v>2797</v>
      </c>
      <c r="C410" s="13">
        <v>790</v>
      </c>
      <c r="D410" s="8" t="s">
        <v>2798</v>
      </c>
      <c r="E410" s="8" t="s">
        <v>2784</v>
      </c>
      <c r="F410" s="8" t="s">
        <v>2799</v>
      </c>
      <c r="G410" s="6" t="s">
        <v>121</v>
      </c>
      <c r="H410" s="6" t="s">
        <v>38</v>
      </c>
      <c r="I410" s="8" t="s">
        <v>2029</v>
      </c>
      <c r="J410" s="9">
        <v>1</v>
      </c>
      <c r="K410" s="9">
        <v>167</v>
      </c>
      <c r="L410" s="9">
        <v>2023</v>
      </c>
      <c r="M410" s="8" t="s">
        <v>2800</v>
      </c>
      <c r="N410" s="8" t="s">
        <v>41</v>
      </c>
      <c r="O410" s="8" t="s">
        <v>42</v>
      </c>
      <c r="P410" s="6" t="s">
        <v>65</v>
      </c>
      <c r="Q410" s="8" t="s">
        <v>66</v>
      </c>
      <c r="R410" s="10" t="s">
        <v>2801</v>
      </c>
      <c r="S410" s="11" t="s">
        <v>2802</v>
      </c>
      <c r="T410" s="6"/>
      <c r="U410" s="28" t="str">
        <f>HYPERLINK("https://media.infra-m.ru/1910/1910764/cover/1910764.jpg", "Обложка")</f>
        <v>Обложка</v>
      </c>
      <c r="V410" s="12"/>
      <c r="W410" s="8" t="s">
        <v>286</v>
      </c>
      <c r="X410" s="6" t="s">
        <v>2803</v>
      </c>
      <c r="Y410" s="6"/>
      <c r="Z410" s="6"/>
      <c r="AA410" s="6" t="s">
        <v>574</v>
      </c>
    </row>
    <row r="411" spans="1:27" s="4" customFormat="1" ht="51.95" customHeight="1">
      <c r="A411" s="5">
        <v>0</v>
      </c>
      <c r="B411" s="6" t="s">
        <v>2804</v>
      </c>
      <c r="C411" s="13">
        <v>714.9</v>
      </c>
      <c r="D411" s="8" t="s">
        <v>2805</v>
      </c>
      <c r="E411" s="8" t="s">
        <v>2806</v>
      </c>
      <c r="F411" s="8" t="s">
        <v>2807</v>
      </c>
      <c r="G411" s="6" t="s">
        <v>52</v>
      </c>
      <c r="H411" s="6" t="s">
        <v>317</v>
      </c>
      <c r="I411" s="8"/>
      <c r="J411" s="9">
        <v>1</v>
      </c>
      <c r="K411" s="9">
        <v>144</v>
      </c>
      <c r="L411" s="9">
        <v>2022</v>
      </c>
      <c r="M411" s="8" t="s">
        <v>2808</v>
      </c>
      <c r="N411" s="8" t="s">
        <v>41</v>
      </c>
      <c r="O411" s="8" t="s">
        <v>54</v>
      </c>
      <c r="P411" s="6" t="s">
        <v>65</v>
      </c>
      <c r="Q411" s="8" t="s">
        <v>66</v>
      </c>
      <c r="R411" s="10" t="s">
        <v>2809</v>
      </c>
      <c r="S411" s="11"/>
      <c r="T411" s="6"/>
      <c r="U411" s="28" t="str">
        <f>HYPERLINK("https://media.infra-m.ru/1853/1853528/cover/1853528.jpg", "Обложка")</f>
        <v>Обложка</v>
      </c>
      <c r="V411" s="28" t="str">
        <f>HYPERLINK("https://znanium.com/catalog/product/971691", "Ознакомиться")</f>
        <v>Ознакомиться</v>
      </c>
      <c r="W411" s="8" t="s">
        <v>2810</v>
      </c>
      <c r="X411" s="6"/>
      <c r="Y411" s="6"/>
      <c r="Z411" s="6"/>
      <c r="AA411" s="6" t="s">
        <v>57</v>
      </c>
    </row>
    <row r="412" spans="1:27" s="4" customFormat="1" ht="51.95" customHeight="1">
      <c r="A412" s="5">
        <v>0</v>
      </c>
      <c r="B412" s="6" t="s">
        <v>2811</v>
      </c>
      <c r="C412" s="7">
        <v>2100</v>
      </c>
      <c r="D412" s="8" t="s">
        <v>2812</v>
      </c>
      <c r="E412" s="8" t="s">
        <v>2813</v>
      </c>
      <c r="F412" s="8" t="s">
        <v>2814</v>
      </c>
      <c r="G412" s="6" t="s">
        <v>121</v>
      </c>
      <c r="H412" s="6" t="s">
        <v>38</v>
      </c>
      <c r="I412" s="8" t="s">
        <v>130</v>
      </c>
      <c r="J412" s="9">
        <v>1</v>
      </c>
      <c r="K412" s="9">
        <v>414</v>
      </c>
      <c r="L412" s="9">
        <v>2023</v>
      </c>
      <c r="M412" s="8" t="s">
        <v>2815</v>
      </c>
      <c r="N412" s="8" t="s">
        <v>41</v>
      </c>
      <c r="O412" s="8" t="s">
        <v>64</v>
      </c>
      <c r="P412" s="6" t="s">
        <v>65</v>
      </c>
      <c r="Q412" s="8" t="s">
        <v>66</v>
      </c>
      <c r="R412" s="10" t="s">
        <v>76</v>
      </c>
      <c r="S412" s="11" t="s">
        <v>2816</v>
      </c>
      <c r="T412" s="6" t="s">
        <v>89</v>
      </c>
      <c r="U412" s="28" t="str">
        <f>HYPERLINK("https://media.infra-m.ru/2070/2070077/cover/2070077.jpg", "Обложка")</f>
        <v>Обложка</v>
      </c>
      <c r="V412" s="28" t="str">
        <f>HYPERLINK("https://znanium.com/catalog/product/2070077", "Ознакомиться")</f>
        <v>Ознакомиться</v>
      </c>
      <c r="W412" s="8" t="s">
        <v>730</v>
      </c>
      <c r="X412" s="6"/>
      <c r="Y412" s="6"/>
      <c r="Z412" s="6"/>
      <c r="AA412" s="6" t="s">
        <v>530</v>
      </c>
    </row>
    <row r="413" spans="1:27" s="4" customFormat="1" ht="51.95" customHeight="1">
      <c r="A413" s="5">
        <v>0</v>
      </c>
      <c r="B413" s="6" t="s">
        <v>2817</v>
      </c>
      <c r="C413" s="7">
        <v>1484.9</v>
      </c>
      <c r="D413" s="8" t="s">
        <v>2818</v>
      </c>
      <c r="E413" s="8" t="s">
        <v>2819</v>
      </c>
      <c r="F413" s="8" t="s">
        <v>2814</v>
      </c>
      <c r="G413" s="6" t="s">
        <v>37</v>
      </c>
      <c r="H413" s="6" t="s">
        <v>38</v>
      </c>
      <c r="I413" s="8" t="s">
        <v>62</v>
      </c>
      <c r="J413" s="9">
        <v>1</v>
      </c>
      <c r="K413" s="9">
        <v>401</v>
      </c>
      <c r="L413" s="9">
        <v>2022</v>
      </c>
      <c r="M413" s="8" t="s">
        <v>2820</v>
      </c>
      <c r="N413" s="8" t="s">
        <v>41</v>
      </c>
      <c r="O413" s="8" t="s">
        <v>64</v>
      </c>
      <c r="P413" s="6" t="s">
        <v>65</v>
      </c>
      <c r="Q413" s="8" t="s">
        <v>66</v>
      </c>
      <c r="R413" s="10" t="s">
        <v>76</v>
      </c>
      <c r="S413" s="11" t="s">
        <v>2821</v>
      </c>
      <c r="T413" s="6" t="s">
        <v>89</v>
      </c>
      <c r="U413" s="28" t="str">
        <f>HYPERLINK("https://media.infra-m.ru/1660/1660301/cover/1660301.jpg", "Обложка")</f>
        <v>Обложка</v>
      </c>
      <c r="V413" s="28" t="str">
        <f>HYPERLINK("https://znanium.com/catalog/product/2070077", "Ознакомиться")</f>
        <v>Ознакомиться</v>
      </c>
      <c r="W413" s="8" t="s">
        <v>730</v>
      </c>
      <c r="X413" s="6"/>
      <c r="Y413" s="6"/>
      <c r="Z413" s="6"/>
      <c r="AA413" s="6" t="s">
        <v>57</v>
      </c>
    </row>
    <row r="414" spans="1:27" s="4" customFormat="1" ht="51.95" customHeight="1">
      <c r="A414" s="5">
        <v>0</v>
      </c>
      <c r="B414" s="6" t="s">
        <v>2822</v>
      </c>
      <c r="C414" s="7">
        <v>1184</v>
      </c>
      <c r="D414" s="8" t="s">
        <v>2823</v>
      </c>
      <c r="E414" s="8" t="s">
        <v>2824</v>
      </c>
      <c r="F414" s="8" t="s">
        <v>2825</v>
      </c>
      <c r="G414" s="6" t="s">
        <v>121</v>
      </c>
      <c r="H414" s="6" t="s">
        <v>38</v>
      </c>
      <c r="I414" s="8" t="s">
        <v>62</v>
      </c>
      <c r="J414" s="9">
        <v>1</v>
      </c>
      <c r="K414" s="9">
        <v>256</v>
      </c>
      <c r="L414" s="9">
        <v>2024</v>
      </c>
      <c r="M414" s="8" t="s">
        <v>2826</v>
      </c>
      <c r="N414" s="8" t="s">
        <v>41</v>
      </c>
      <c r="O414" s="8" t="s">
        <v>97</v>
      </c>
      <c r="P414" s="6" t="s">
        <v>65</v>
      </c>
      <c r="Q414" s="8" t="s">
        <v>66</v>
      </c>
      <c r="R414" s="10" t="s">
        <v>2827</v>
      </c>
      <c r="S414" s="11"/>
      <c r="T414" s="6"/>
      <c r="U414" s="28" t="str">
        <f>HYPERLINK("https://media.infra-m.ru/2087/2087277/cover/2087277.jpg", "Обложка")</f>
        <v>Обложка</v>
      </c>
      <c r="V414" s="28" t="str">
        <f>HYPERLINK("https://znanium.com/catalog/product/1945264", "Ознакомиться")</f>
        <v>Ознакомиться</v>
      </c>
      <c r="W414" s="8" t="s">
        <v>339</v>
      </c>
      <c r="X414" s="6"/>
      <c r="Y414" s="6"/>
      <c r="Z414" s="6"/>
      <c r="AA414" s="6" t="s">
        <v>254</v>
      </c>
    </row>
    <row r="415" spans="1:27" s="4" customFormat="1" ht="51.95" customHeight="1">
      <c r="A415" s="5">
        <v>0</v>
      </c>
      <c r="B415" s="6" t="s">
        <v>2828</v>
      </c>
      <c r="C415" s="13">
        <v>574.9</v>
      </c>
      <c r="D415" s="8" t="s">
        <v>2829</v>
      </c>
      <c r="E415" s="8" t="s">
        <v>2830</v>
      </c>
      <c r="F415" s="8" t="s">
        <v>2831</v>
      </c>
      <c r="G415" s="6" t="s">
        <v>52</v>
      </c>
      <c r="H415" s="6" t="s">
        <v>207</v>
      </c>
      <c r="I415" s="8"/>
      <c r="J415" s="9">
        <v>1</v>
      </c>
      <c r="K415" s="9">
        <v>128</v>
      </c>
      <c r="L415" s="9">
        <v>2023</v>
      </c>
      <c r="M415" s="8" t="s">
        <v>2832</v>
      </c>
      <c r="N415" s="8" t="s">
        <v>41</v>
      </c>
      <c r="O415" s="8" t="s">
        <v>64</v>
      </c>
      <c r="P415" s="6" t="s">
        <v>65</v>
      </c>
      <c r="Q415" s="8" t="s">
        <v>452</v>
      </c>
      <c r="R415" s="10" t="s">
        <v>1551</v>
      </c>
      <c r="S415" s="11" t="s">
        <v>2833</v>
      </c>
      <c r="T415" s="6"/>
      <c r="U415" s="28" t="str">
        <f>HYPERLINK("https://media.infra-m.ru/1913/1913859/cover/1913859.jpg", "Обложка")</f>
        <v>Обложка</v>
      </c>
      <c r="V415" s="28" t="str">
        <f>HYPERLINK("https://znanium.com/catalog/product/1856557", "Ознакомиться")</f>
        <v>Ознакомиться</v>
      </c>
      <c r="W415" s="8" t="s">
        <v>2834</v>
      </c>
      <c r="X415" s="6"/>
      <c r="Y415" s="6"/>
      <c r="Z415" s="6"/>
      <c r="AA415" s="6" t="s">
        <v>47</v>
      </c>
    </row>
    <row r="416" spans="1:27" s="4" customFormat="1" ht="51.95" customHeight="1">
      <c r="A416" s="5">
        <v>0</v>
      </c>
      <c r="B416" s="6" t="s">
        <v>2835</v>
      </c>
      <c r="C416" s="13">
        <v>574</v>
      </c>
      <c r="D416" s="8" t="s">
        <v>2836</v>
      </c>
      <c r="E416" s="8" t="s">
        <v>2830</v>
      </c>
      <c r="F416" s="8" t="s">
        <v>2837</v>
      </c>
      <c r="G416" s="6" t="s">
        <v>52</v>
      </c>
      <c r="H416" s="6" t="s">
        <v>207</v>
      </c>
      <c r="I416" s="8" t="s">
        <v>187</v>
      </c>
      <c r="J416" s="9">
        <v>1</v>
      </c>
      <c r="K416" s="9">
        <v>126</v>
      </c>
      <c r="L416" s="9">
        <v>2023</v>
      </c>
      <c r="M416" s="8" t="s">
        <v>2838</v>
      </c>
      <c r="N416" s="8" t="s">
        <v>41</v>
      </c>
      <c r="O416" s="8" t="s">
        <v>64</v>
      </c>
      <c r="P416" s="6" t="s">
        <v>65</v>
      </c>
      <c r="Q416" s="8" t="s">
        <v>189</v>
      </c>
      <c r="R416" s="10" t="s">
        <v>1551</v>
      </c>
      <c r="S416" s="11" t="s">
        <v>2839</v>
      </c>
      <c r="T416" s="6"/>
      <c r="U416" s="28" t="str">
        <f>HYPERLINK("https://media.infra-m.ru/2021/2021468/cover/2021468.jpg", "Обложка")</f>
        <v>Обложка</v>
      </c>
      <c r="V416" s="28" t="str">
        <f>HYPERLINK("https://znanium.com/catalog/product/1042596", "Ознакомиться")</f>
        <v>Ознакомиться</v>
      </c>
      <c r="W416" s="8" t="s">
        <v>2834</v>
      </c>
      <c r="X416" s="6"/>
      <c r="Y416" s="6"/>
      <c r="Z416" s="6" t="s">
        <v>2840</v>
      </c>
      <c r="AA416" s="6" t="s">
        <v>193</v>
      </c>
    </row>
    <row r="417" spans="1:27" s="4" customFormat="1" ht="51.95" customHeight="1">
      <c r="A417" s="5">
        <v>0</v>
      </c>
      <c r="B417" s="6" t="s">
        <v>2841</v>
      </c>
      <c r="C417" s="7">
        <v>1550</v>
      </c>
      <c r="D417" s="8" t="s">
        <v>2842</v>
      </c>
      <c r="E417" s="8" t="s">
        <v>2843</v>
      </c>
      <c r="F417" s="8" t="s">
        <v>2844</v>
      </c>
      <c r="G417" s="6" t="s">
        <v>37</v>
      </c>
      <c r="H417" s="6" t="s">
        <v>38</v>
      </c>
      <c r="I417" s="8" t="s">
        <v>130</v>
      </c>
      <c r="J417" s="9">
        <v>1</v>
      </c>
      <c r="K417" s="9">
        <v>336</v>
      </c>
      <c r="L417" s="9">
        <v>2024</v>
      </c>
      <c r="M417" s="8" t="s">
        <v>2845</v>
      </c>
      <c r="N417" s="8" t="s">
        <v>41</v>
      </c>
      <c r="O417" s="8" t="s">
        <v>64</v>
      </c>
      <c r="P417" s="6" t="s">
        <v>65</v>
      </c>
      <c r="Q417" s="8" t="s">
        <v>66</v>
      </c>
      <c r="R417" s="10" t="s">
        <v>2846</v>
      </c>
      <c r="S417" s="11" t="s">
        <v>2847</v>
      </c>
      <c r="T417" s="6" t="s">
        <v>89</v>
      </c>
      <c r="U417" s="28" t="str">
        <f>HYPERLINK("https://media.infra-m.ru/2084/2084208/cover/2084208.jpg", "Обложка")</f>
        <v>Обложка</v>
      </c>
      <c r="V417" s="28" t="str">
        <f>HYPERLINK("https://znanium.com/catalog/product/2084208", "Ознакомиться")</f>
        <v>Ознакомиться</v>
      </c>
      <c r="W417" s="8" t="s">
        <v>582</v>
      </c>
      <c r="X417" s="6"/>
      <c r="Y417" s="6"/>
      <c r="Z417" s="6"/>
      <c r="AA417" s="6" t="s">
        <v>161</v>
      </c>
    </row>
    <row r="418" spans="1:27" s="4" customFormat="1" ht="42" customHeight="1">
      <c r="A418" s="5">
        <v>0</v>
      </c>
      <c r="B418" s="6" t="s">
        <v>2848</v>
      </c>
      <c r="C418" s="13">
        <v>544.9</v>
      </c>
      <c r="D418" s="8" t="s">
        <v>2849</v>
      </c>
      <c r="E418" s="8" t="s">
        <v>2850</v>
      </c>
      <c r="F418" s="8" t="s">
        <v>242</v>
      </c>
      <c r="G418" s="6" t="s">
        <v>52</v>
      </c>
      <c r="H418" s="6" t="s">
        <v>38</v>
      </c>
      <c r="I418" s="8" t="s">
        <v>62</v>
      </c>
      <c r="J418" s="9">
        <v>1</v>
      </c>
      <c r="K418" s="9">
        <v>120</v>
      </c>
      <c r="L418" s="9">
        <v>2023</v>
      </c>
      <c r="M418" s="8" t="s">
        <v>2851</v>
      </c>
      <c r="N418" s="8" t="s">
        <v>41</v>
      </c>
      <c r="O418" s="8" t="s">
        <v>54</v>
      </c>
      <c r="P418" s="6" t="s">
        <v>65</v>
      </c>
      <c r="Q418" s="8" t="s">
        <v>66</v>
      </c>
      <c r="R418" s="10" t="s">
        <v>2852</v>
      </c>
      <c r="S418" s="11"/>
      <c r="T418" s="6"/>
      <c r="U418" s="28" t="str">
        <f>HYPERLINK("https://media.infra-m.ru/1911/1911769/cover/1911769.jpg", "Обложка")</f>
        <v>Обложка</v>
      </c>
      <c r="V418" s="28" t="str">
        <f>HYPERLINK("https://znanium.com/catalog/product/1408100", "Ознакомиться")</f>
        <v>Ознакомиться</v>
      </c>
      <c r="W418" s="8" t="s">
        <v>143</v>
      </c>
      <c r="X418" s="6"/>
      <c r="Y418" s="6"/>
      <c r="Z418" s="6"/>
      <c r="AA418" s="6" t="s">
        <v>674</v>
      </c>
    </row>
    <row r="419" spans="1:27" s="4" customFormat="1" ht="51.95" customHeight="1">
      <c r="A419" s="5">
        <v>0</v>
      </c>
      <c r="B419" s="6" t="s">
        <v>2853</v>
      </c>
      <c r="C419" s="7">
        <v>1294.9000000000001</v>
      </c>
      <c r="D419" s="8" t="s">
        <v>2854</v>
      </c>
      <c r="E419" s="8" t="s">
        <v>2855</v>
      </c>
      <c r="F419" s="8" t="s">
        <v>2856</v>
      </c>
      <c r="G419" s="6" t="s">
        <v>121</v>
      </c>
      <c r="H419" s="6" t="s">
        <v>38</v>
      </c>
      <c r="I419" s="8" t="s">
        <v>62</v>
      </c>
      <c r="J419" s="9">
        <v>1</v>
      </c>
      <c r="K419" s="9">
        <v>340</v>
      </c>
      <c r="L419" s="9">
        <v>2022</v>
      </c>
      <c r="M419" s="8" t="s">
        <v>2857</v>
      </c>
      <c r="N419" s="8" t="s">
        <v>41</v>
      </c>
      <c r="O419" s="8" t="s">
        <v>54</v>
      </c>
      <c r="P419" s="6" t="s">
        <v>85</v>
      </c>
      <c r="Q419" s="8" t="s">
        <v>66</v>
      </c>
      <c r="R419" s="10" t="s">
        <v>1662</v>
      </c>
      <c r="S419" s="11" t="s">
        <v>2858</v>
      </c>
      <c r="T419" s="6" t="s">
        <v>89</v>
      </c>
      <c r="U419" s="28" t="str">
        <f>HYPERLINK("https://media.infra-m.ru/1844/1844287/cover/1844287.jpg", "Обложка")</f>
        <v>Обложка</v>
      </c>
      <c r="V419" s="28" t="str">
        <f>HYPERLINK("https://znanium.com/catalog/product/1844287", "Ознакомиться")</f>
        <v>Ознакомиться</v>
      </c>
      <c r="W419" s="8" t="s">
        <v>558</v>
      </c>
      <c r="X419" s="6"/>
      <c r="Y419" s="6"/>
      <c r="Z419" s="6"/>
      <c r="AA419" s="6" t="s">
        <v>254</v>
      </c>
    </row>
    <row r="420" spans="1:27" s="4" customFormat="1" ht="51.95" customHeight="1">
      <c r="A420" s="5">
        <v>0</v>
      </c>
      <c r="B420" s="6" t="s">
        <v>2859</v>
      </c>
      <c r="C420" s="7">
        <v>1000</v>
      </c>
      <c r="D420" s="8" t="s">
        <v>2860</v>
      </c>
      <c r="E420" s="8" t="s">
        <v>2861</v>
      </c>
      <c r="F420" s="8" t="s">
        <v>2862</v>
      </c>
      <c r="G420" s="6" t="s">
        <v>37</v>
      </c>
      <c r="H420" s="6" t="s">
        <v>38</v>
      </c>
      <c r="I420" s="8" t="s">
        <v>130</v>
      </c>
      <c r="J420" s="9">
        <v>1</v>
      </c>
      <c r="K420" s="9">
        <v>223</v>
      </c>
      <c r="L420" s="9">
        <v>2022</v>
      </c>
      <c r="M420" s="8" t="s">
        <v>2863</v>
      </c>
      <c r="N420" s="8" t="s">
        <v>41</v>
      </c>
      <c r="O420" s="8" t="s">
        <v>54</v>
      </c>
      <c r="P420" s="6" t="s">
        <v>65</v>
      </c>
      <c r="Q420" s="8" t="s">
        <v>66</v>
      </c>
      <c r="R420" s="10" t="s">
        <v>2864</v>
      </c>
      <c r="S420" s="11" t="s">
        <v>2865</v>
      </c>
      <c r="T420" s="6"/>
      <c r="U420" s="28" t="str">
        <f>HYPERLINK("https://media.infra-m.ru/1893/1893206/cover/1893206.jpg", "Обложка")</f>
        <v>Обложка</v>
      </c>
      <c r="V420" s="28" t="str">
        <f>HYPERLINK("https://znanium.com/catalog/product/1893206", "Ознакомиться")</f>
        <v>Ознакомиться</v>
      </c>
      <c r="W420" s="8" t="s">
        <v>806</v>
      </c>
      <c r="X420" s="6"/>
      <c r="Y420" s="6"/>
      <c r="Z420" s="6"/>
      <c r="AA420" s="6" t="s">
        <v>70</v>
      </c>
    </row>
    <row r="421" spans="1:27" s="4" customFormat="1" ht="51.95" customHeight="1">
      <c r="A421" s="5">
        <v>0</v>
      </c>
      <c r="B421" s="6" t="s">
        <v>2866</v>
      </c>
      <c r="C421" s="13">
        <v>714.9</v>
      </c>
      <c r="D421" s="8" t="s">
        <v>2867</v>
      </c>
      <c r="E421" s="8" t="s">
        <v>2868</v>
      </c>
      <c r="F421" s="8" t="s">
        <v>764</v>
      </c>
      <c r="G421" s="6" t="s">
        <v>121</v>
      </c>
      <c r="H421" s="6" t="s">
        <v>38</v>
      </c>
      <c r="I421" s="8" t="s">
        <v>39</v>
      </c>
      <c r="J421" s="9">
        <v>1</v>
      </c>
      <c r="K421" s="9">
        <v>158</v>
      </c>
      <c r="L421" s="9">
        <v>2023</v>
      </c>
      <c r="M421" s="8" t="s">
        <v>2869</v>
      </c>
      <c r="N421" s="8" t="s">
        <v>41</v>
      </c>
      <c r="O421" s="8" t="s">
        <v>64</v>
      </c>
      <c r="P421" s="6" t="s">
        <v>43</v>
      </c>
      <c r="Q421" s="8" t="s">
        <v>44</v>
      </c>
      <c r="R421" s="10" t="s">
        <v>2870</v>
      </c>
      <c r="S421" s="11"/>
      <c r="T421" s="6"/>
      <c r="U421" s="28" t="str">
        <f>HYPERLINK("https://media.infra-m.ru/2002/2002650/cover/2002650.jpg", "Обложка")</f>
        <v>Обложка</v>
      </c>
      <c r="V421" s="28" t="str">
        <f>HYPERLINK("https://znanium.com/catalog/product/1039314", "Ознакомиться")</f>
        <v>Ознакомиться</v>
      </c>
      <c r="W421" s="8" t="s">
        <v>768</v>
      </c>
      <c r="X421" s="6"/>
      <c r="Y421" s="6"/>
      <c r="Z421" s="6"/>
      <c r="AA421" s="6" t="s">
        <v>320</v>
      </c>
    </row>
    <row r="422" spans="1:27" s="4" customFormat="1" ht="51.95" customHeight="1">
      <c r="A422" s="5">
        <v>0</v>
      </c>
      <c r="B422" s="6" t="s">
        <v>2871</v>
      </c>
      <c r="C422" s="7">
        <v>2314.9</v>
      </c>
      <c r="D422" s="8" t="s">
        <v>2872</v>
      </c>
      <c r="E422" s="8" t="s">
        <v>2873</v>
      </c>
      <c r="F422" s="8" t="s">
        <v>2874</v>
      </c>
      <c r="G422" s="6" t="s">
        <v>121</v>
      </c>
      <c r="H422" s="6" t="s">
        <v>38</v>
      </c>
      <c r="I422" s="8" t="s">
        <v>795</v>
      </c>
      <c r="J422" s="9">
        <v>1</v>
      </c>
      <c r="K422" s="9">
        <v>637</v>
      </c>
      <c r="L422" s="9">
        <v>2023</v>
      </c>
      <c r="M422" s="8" t="s">
        <v>2875</v>
      </c>
      <c r="N422" s="8" t="s">
        <v>41</v>
      </c>
      <c r="O422" s="8" t="s">
        <v>181</v>
      </c>
      <c r="P422" s="6" t="s">
        <v>85</v>
      </c>
      <c r="Q422" s="8" t="s">
        <v>797</v>
      </c>
      <c r="R422" s="10" t="s">
        <v>2876</v>
      </c>
      <c r="S422" s="11" t="s">
        <v>2877</v>
      </c>
      <c r="T422" s="6" t="s">
        <v>89</v>
      </c>
      <c r="U422" s="28" t="str">
        <f>HYPERLINK("https://media.infra-m.ru/1900/1900382/cover/1900382.jpg", "Обложка")</f>
        <v>Обложка</v>
      </c>
      <c r="V422" s="28" t="str">
        <f>HYPERLINK("https://znanium.com/catalog/product/1510087", "Ознакомиться")</f>
        <v>Ознакомиться</v>
      </c>
      <c r="W422" s="8" t="s">
        <v>2878</v>
      </c>
      <c r="X422" s="6"/>
      <c r="Y422" s="6"/>
      <c r="Z422" s="6"/>
      <c r="AA422" s="6" t="s">
        <v>320</v>
      </c>
    </row>
    <row r="423" spans="1:27" s="4" customFormat="1" ht="51.95" customHeight="1">
      <c r="A423" s="5">
        <v>0</v>
      </c>
      <c r="B423" s="6" t="s">
        <v>2879</v>
      </c>
      <c r="C423" s="13">
        <v>530</v>
      </c>
      <c r="D423" s="8" t="s">
        <v>2880</v>
      </c>
      <c r="E423" s="8" t="s">
        <v>2881</v>
      </c>
      <c r="F423" s="8" t="s">
        <v>2882</v>
      </c>
      <c r="G423" s="6" t="s">
        <v>52</v>
      </c>
      <c r="H423" s="6" t="s">
        <v>38</v>
      </c>
      <c r="I423" s="8" t="s">
        <v>2029</v>
      </c>
      <c r="J423" s="9">
        <v>1</v>
      </c>
      <c r="K423" s="9">
        <v>138</v>
      </c>
      <c r="L423" s="9">
        <v>2022</v>
      </c>
      <c r="M423" s="8" t="s">
        <v>2883</v>
      </c>
      <c r="N423" s="8" t="s">
        <v>41</v>
      </c>
      <c r="O423" s="8" t="s">
        <v>54</v>
      </c>
      <c r="P423" s="6" t="s">
        <v>65</v>
      </c>
      <c r="Q423" s="8" t="s">
        <v>66</v>
      </c>
      <c r="R423" s="10" t="s">
        <v>2884</v>
      </c>
      <c r="S423" s="11" t="s">
        <v>2885</v>
      </c>
      <c r="T423" s="6"/>
      <c r="U423" s="28" t="str">
        <f>HYPERLINK("https://media.infra-m.ru/1845/1845971/cover/1845971.jpg", "Обложка")</f>
        <v>Обложка</v>
      </c>
      <c r="V423" s="12"/>
      <c r="W423" s="8" t="s">
        <v>463</v>
      </c>
      <c r="X423" s="6"/>
      <c r="Y423" s="6"/>
      <c r="Z423" s="6"/>
      <c r="AA423" s="6" t="s">
        <v>91</v>
      </c>
    </row>
    <row r="424" spans="1:27" s="4" customFormat="1" ht="51.95" customHeight="1">
      <c r="A424" s="5">
        <v>0</v>
      </c>
      <c r="B424" s="6" t="s">
        <v>2886</v>
      </c>
      <c r="C424" s="7">
        <v>1084.9000000000001</v>
      </c>
      <c r="D424" s="8" t="s">
        <v>2887</v>
      </c>
      <c r="E424" s="8" t="s">
        <v>2888</v>
      </c>
      <c r="F424" s="8" t="s">
        <v>2889</v>
      </c>
      <c r="G424" s="6" t="s">
        <v>52</v>
      </c>
      <c r="H424" s="6" t="s">
        <v>207</v>
      </c>
      <c r="I424" s="8" t="s">
        <v>62</v>
      </c>
      <c r="J424" s="9">
        <v>1</v>
      </c>
      <c r="K424" s="9">
        <v>240</v>
      </c>
      <c r="L424" s="9">
        <v>2023</v>
      </c>
      <c r="M424" s="8" t="s">
        <v>2890</v>
      </c>
      <c r="N424" s="8" t="s">
        <v>41</v>
      </c>
      <c r="O424" s="8" t="s">
        <v>64</v>
      </c>
      <c r="P424" s="6" t="s">
        <v>65</v>
      </c>
      <c r="Q424" s="8" t="s">
        <v>66</v>
      </c>
      <c r="R424" s="10" t="s">
        <v>2891</v>
      </c>
      <c r="S424" s="11" t="s">
        <v>2892</v>
      </c>
      <c r="T424" s="6"/>
      <c r="U424" s="28" t="str">
        <f>HYPERLINK("https://media.infra-m.ru/1894/1894513/cover/1894513.jpg", "Обложка")</f>
        <v>Обложка</v>
      </c>
      <c r="V424" s="28" t="str">
        <f>HYPERLINK("https://znanium.com/catalog/product/1789531", "Ознакомиться")</f>
        <v>Ознакомиться</v>
      </c>
      <c r="W424" s="8" t="s">
        <v>1415</v>
      </c>
      <c r="X424" s="6"/>
      <c r="Y424" s="6"/>
      <c r="Z424" s="6"/>
      <c r="AA424" s="6" t="s">
        <v>57</v>
      </c>
    </row>
    <row r="425" spans="1:27" s="4" customFormat="1" ht="51.95" customHeight="1">
      <c r="A425" s="5">
        <v>0</v>
      </c>
      <c r="B425" s="6" t="s">
        <v>2893</v>
      </c>
      <c r="C425" s="13">
        <v>920</v>
      </c>
      <c r="D425" s="8" t="s">
        <v>2894</v>
      </c>
      <c r="E425" s="8" t="s">
        <v>2895</v>
      </c>
      <c r="F425" s="8" t="s">
        <v>2896</v>
      </c>
      <c r="G425" s="6" t="s">
        <v>37</v>
      </c>
      <c r="H425" s="6" t="s">
        <v>38</v>
      </c>
      <c r="I425" s="8" t="s">
        <v>62</v>
      </c>
      <c r="J425" s="9">
        <v>1</v>
      </c>
      <c r="K425" s="9">
        <v>286</v>
      </c>
      <c r="L425" s="9">
        <v>2019</v>
      </c>
      <c r="M425" s="8" t="s">
        <v>2897</v>
      </c>
      <c r="N425" s="8" t="s">
        <v>41</v>
      </c>
      <c r="O425" s="8" t="s">
        <v>64</v>
      </c>
      <c r="P425" s="6" t="s">
        <v>65</v>
      </c>
      <c r="Q425" s="8" t="s">
        <v>66</v>
      </c>
      <c r="R425" s="10"/>
      <c r="S425" s="11" t="s">
        <v>665</v>
      </c>
      <c r="T425" s="6"/>
      <c r="U425" s="28" t="str">
        <f>HYPERLINK("https://media.infra-m.ru/1018/1018786/cover/1018786.jpg", "Обложка")</f>
        <v>Обложка</v>
      </c>
      <c r="V425" s="12"/>
      <c r="W425" s="8" t="s">
        <v>313</v>
      </c>
      <c r="X425" s="6"/>
      <c r="Y425" s="6"/>
      <c r="Z425" s="6"/>
      <c r="AA425" s="6" t="s">
        <v>320</v>
      </c>
    </row>
    <row r="426" spans="1:27" s="4" customFormat="1" ht="51.95" customHeight="1">
      <c r="A426" s="5">
        <v>0</v>
      </c>
      <c r="B426" s="6" t="s">
        <v>2898</v>
      </c>
      <c r="C426" s="7">
        <v>1994.9</v>
      </c>
      <c r="D426" s="8" t="s">
        <v>2899</v>
      </c>
      <c r="E426" s="8" t="s">
        <v>2900</v>
      </c>
      <c r="F426" s="8" t="s">
        <v>2901</v>
      </c>
      <c r="G426" s="6" t="s">
        <v>121</v>
      </c>
      <c r="H426" s="6" t="s">
        <v>679</v>
      </c>
      <c r="I426" s="8" t="s">
        <v>680</v>
      </c>
      <c r="J426" s="9">
        <v>1</v>
      </c>
      <c r="K426" s="9">
        <v>640</v>
      </c>
      <c r="L426" s="9">
        <v>2023</v>
      </c>
      <c r="M426" s="8" t="s">
        <v>2902</v>
      </c>
      <c r="N426" s="8" t="s">
        <v>41</v>
      </c>
      <c r="O426" s="8" t="s">
        <v>64</v>
      </c>
      <c r="P426" s="6" t="s">
        <v>85</v>
      </c>
      <c r="Q426" s="8" t="s">
        <v>66</v>
      </c>
      <c r="R426" s="10" t="s">
        <v>2538</v>
      </c>
      <c r="S426" s="11" t="s">
        <v>2903</v>
      </c>
      <c r="T426" s="6"/>
      <c r="U426" s="28" t="str">
        <f>HYPERLINK("https://media.infra-m.ru/1930/1930668/cover/1930668.jpg", "Обложка")</f>
        <v>Обложка</v>
      </c>
      <c r="V426" s="28" t="str">
        <f>HYPERLINK("https://znanium.com/catalog/product/1844290", "Ознакомиться")</f>
        <v>Ознакомиться</v>
      </c>
      <c r="W426" s="8" t="s">
        <v>542</v>
      </c>
      <c r="X426" s="6"/>
      <c r="Y426" s="6"/>
      <c r="Z426" s="6"/>
      <c r="AA426" s="6" t="s">
        <v>1088</v>
      </c>
    </row>
    <row r="427" spans="1:27" s="4" customFormat="1" ht="51.95" customHeight="1">
      <c r="A427" s="5">
        <v>0</v>
      </c>
      <c r="B427" s="6" t="s">
        <v>2904</v>
      </c>
      <c r="C427" s="7">
        <v>2550</v>
      </c>
      <c r="D427" s="8" t="s">
        <v>2905</v>
      </c>
      <c r="E427" s="8" t="s">
        <v>2906</v>
      </c>
      <c r="F427" s="8" t="s">
        <v>2907</v>
      </c>
      <c r="G427" s="6" t="s">
        <v>37</v>
      </c>
      <c r="H427" s="6" t="s">
        <v>38</v>
      </c>
      <c r="I427" s="8" t="s">
        <v>62</v>
      </c>
      <c r="J427" s="9">
        <v>1</v>
      </c>
      <c r="K427" s="9">
        <v>566</v>
      </c>
      <c r="L427" s="9">
        <v>2023</v>
      </c>
      <c r="M427" s="8" t="s">
        <v>2908</v>
      </c>
      <c r="N427" s="8" t="s">
        <v>41</v>
      </c>
      <c r="O427" s="8" t="s">
        <v>64</v>
      </c>
      <c r="P427" s="6" t="s">
        <v>85</v>
      </c>
      <c r="Q427" s="8" t="s">
        <v>66</v>
      </c>
      <c r="R427" s="10" t="s">
        <v>2909</v>
      </c>
      <c r="S427" s="11" t="s">
        <v>2910</v>
      </c>
      <c r="T427" s="6" t="s">
        <v>89</v>
      </c>
      <c r="U427" s="28" t="str">
        <f>HYPERLINK("https://media.infra-m.ru/1913/1913862/cover/1913862.jpg", "Обложка")</f>
        <v>Обложка</v>
      </c>
      <c r="V427" s="28" t="str">
        <f>HYPERLINK("https://znanium.com/catalog/product/1913862", "Ознакомиться")</f>
        <v>Ознакомиться</v>
      </c>
      <c r="W427" s="8" t="s">
        <v>2911</v>
      </c>
      <c r="X427" s="6"/>
      <c r="Y427" s="6"/>
      <c r="Z427" s="6"/>
      <c r="AA427" s="6" t="s">
        <v>320</v>
      </c>
    </row>
    <row r="428" spans="1:27" s="4" customFormat="1" ht="51.95" customHeight="1">
      <c r="A428" s="5">
        <v>0</v>
      </c>
      <c r="B428" s="6" t="s">
        <v>2912</v>
      </c>
      <c r="C428" s="7">
        <v>1374</v>
      </c>
      <c r="D428" s="8" t="s">
        <v>2913</v>
      </c>
      <c r="E428" s="8" t="s">
        <v>2914</v>
      </c>
      <c r="F428" s="8" t="s">
        <v>2915</v>
      </c>
      <c r="G428" s="6" t="s">
        <v>121</v>
      </c>
      <c r="H428" s="6" t="s">
        <v>264</v>
      </c>
      <c r="I428" s="8"/>
      <c r="J428" s="9">
        <v>1</v>
      </c>
      <c r="K428" s="9">
        <v>297</v>
      </c>
      <c r="L428" s="9">
        <v>2024</v>
      </c>
      <c r="M428" s="8" t="s">
        <v>2916</v>
      </c>
      <c r="N428" s="8" t="s">
        <v>41</v>
      </c>
      <c r="O428" s="8" t="s">
        <v>54</v>
      </c>
      <c r="P428" s="6" t="s">
        <v>65</v>
      </c>
      <c r="Q428" s="8" t="s">
        <v>66</v>
      </c>
      <c r="R428" s="10" t="s">
        <v>2917</v>
      </c>
      <c r="S428" s="11" t="s">
        <v>2918</v>
      </c>
      <c r="T428" s="6"/>
      <c r="U428" s="28" t="str">
        <f>HYPERLINK("https://media.infra-m.ru/2061/2061193/cover/2061193.jpg", "Обложка")</f>
        <v>Обложка</v>
      </c>
      <c r="V428" s="28" t="str">
        <f>HYPERLINK("https://znanium.com/catalog/product/1072244", "Ознакомиться")</f>
        <v>Ознакомиться</v>
      </c>
      <c r="W428" s="8" t="s">
        <v>238</v>
      </c>
      <c r="X428" s="6"/>
      <c r="Y428" s="6"/>
      <c r="Z428" s="6"/>
      <c r="AA428" s="6" t="s">
        <v>559</v>
      </c>
    </row>
    <row r="429" spans="1:27" s="4" customFormat="1" ht="42" customHeight="1">
      <c r="A429" s="5">
        <v>0</v>
      </c>
      <c r="B429" s="6" t="s">
        <v>2919</v>
      </c>
      <c r="C429" s="7">
        <v>1114.9000000000001</v>
      </c>
      <c r="D429" s="8" t="s">
        <v>2920</v>
      </c>
      <c r="E429" s="8" t="s">
        <v>2921</v>
      </c>
      <c r="F429" s="8" t="s">
        <v>2922</v>
      </c>
      <c r="G429" s="6" t="s">
        <v>121</v>
      </c>
      <c r="H429" s="6" t="s">
        <v>264</v>
      </c>
      <c r="I429" s="8"/>
      <c r="J429" s="9">
        <v>1</v>
      </c>
      <c r="K429" s="9">
        <v>247</v>
      </c>
      <c r="L429" s="9">
        <v>2023</v>
      </c>
      <c r="M429" s="8" t="s">
        <v>2923</v>
      </c>
      <c r="N429" s="8" t="s">
        <v>41</v>
      </c>
      <c r="O429" s="8" t="s">
        <v>54</v>
      </c>
      <c r="P429" s="6" t="s">
        <v>65</v>
      </c>
      <c r="Q429" s="8" t="s">
        <v>86</v>
      </c>
      <c r="R429" s="10" t="s">
        <v>2924</v>
      </c>
      <c r="S429" s="11"/>
      <c r="T429" s="6"/>
      <c r="U429" s="28" t="str">
        <f>HYPERLINK("https://media.infra-m.ru/1894/1894529/cover/1894529.jpg", "Обложка")</f>
        <v>Обложка</v>
      </c>
      <c r="V429" s="28" t="str">
        <f>HYPERLINK("https://znanium.com/catalog/product/1858556", "Ознакомиться")</f>
        <v>Ознакомиться</v>
      </c>
      <c r="W429" s="8" t="s">
        <v>963</v>
      </c>
      <c r="X429" s="6"/>
      <c r="Y429" s="6"/>
      <c r="Z429" s="6"/>
      <c r="AA429" s="6" t="s">
        <v>57</v>
      </c>
    </row>
    <row r="430" spans="1:27" s="4" customFormat="1" ht="51.95" customHeight="1">
      <c r="A430" s="5">
        <v>0</v>
      </c>
      <c r="B430" s="6" t="s">
        <v>2925</v>
      </c>
      <c r="C430" s="13">
        <v>944</v>
      </c>
      <c r="D430" s="8" t="s">
        <v>2926</v>
      </c>
      <c r="E430" s="8" t="s">
        <v>2927</v>
      </c>
      <c r="F430" s="8" t="s">
        <v>615</v>
      </c>
      <c r="G430" s="6" t="s">
        <v>52</v>
      </c>
      <c r="H430" s="6" t="s">
        <v>355</v>
      </c>
      <c r="I430" s="8" t="s">
        <v>130</v>
      </c>
      <c r="J430" s="9">
        <v>1</v>
      </c>
      <c r="K430" s="9">
        <v>200</v>
      </c>
      <c r="L430" s="9">
        <v>2023</v>
      </c>
      <c r="M430" s="8" t="s">
        <v>2928</v>
      </c>
      <c r="N430" s="8" t="s">
        <v>41</v>
      </c>
      <c r="O430" s="8" t="s">
        <v>64</v>
      </c>
      <c r="P430" s="6" t="s">
        <v>65</v>
      </c>
      <c r="Q430" s="8" t="s">
        <v>66</v>
      </c>
      <c r="R430" s="10" t="s">
        <v>2929</v>
      </c>
      <c r="S430" s="11" t="s">
        <v>2930</v>
      </c>
      <c r="T430" s="6"/>
      <c r="U430" s="28" t="str">
        <f>HYPERLINK("https://media.infra-m.ru/2111/2111794/cover/2111794.jpg", "Обложка")</f>
        <v>Обложка</v>
      </c>
      <c r="V430" s="28" t="str">
        <f>HYPERLINK("https://znanium.com/catalog/product/2111793", "Ознакомиться")</f>
        <v>Ознакомиться</v>
      </c>
      <c r="W430" s="8" t="s">
        <v>620</v>
      </c>
      <c r="X430" s="6"/>
      <c r="Y430" s="6"/>
      <c r="Z430" s="6"/>
      <c r="AA430" s="6" t="s">
        <v>70</v>
      </c>
    </row>
    <row r="431" spans="1:27" s="4" customFormat="1" ht="51.95" customHeight="1">
      <c r="A431" s="5">
        <v>0</v>
      </c>
      <c r="B431" s="6" t="s">
        <v>2931</v>
      </c>
      <c r="C431" s="7">
        <v>1120</v>
      </c>
      <c r="D431" s="8" t="s">
        <v>2932</v>
      </c>
      <c r="E431" s="8" t="s">
        <v>2933</v>
      </c>
      <c r="F431" s="8" t="s">
        <v>2934</v>
      </c>
      <c r="G431" s="6" t="s">
        <v>37</v>
      </c>
      <c r="H431" s="6" t="s">
        <v>38</v>
      </c>
      <c r="I431" s="8" t="s">
        <v>187</v>
      </c>
      <c r="J431" s="9">
        <v>1</v>
      </c>
      <c r="K431" s="9">
        <v>248</v>
      </c>
      <c r="L431" s="9">
        <v>2023</v>
      </c>
      <c r="M431" s="8" t="s">
        <v>2935</v>
      </c>
      <c r="N431" s="8" t="s">
        <v>41</v>
      </c>
      <c r="O431" s="8" t="s">
        <v>64</v>
      </c>
      <c r="P431" s="6" t="s">
        <v>65</v>
      </c>
      <c r="Q431" s="8" t="s">
        <v>189</v>
      </c>
      <c r="R431" s="10" t="s">
        <v>2936</v>
      </c>
      <c r="S431" s="11" t="s">
        <v>2937</v>
      </c>
      <c r="T431" s="6"/>
      <c r="U431" s="28" t="str">
        <f>HYPERLINK("https://media.infra-m.ru/1900/1900925/cover/1900925.jpg", "Обложка")</f>
        <v>Обложка</v>
      </c>
      <c r="V431" s="28" t="str">
        <f>HYPERLINK("https://znanium.com/catalog/product/1900925", "Ознакомиться")</f>
        <v>Ознакомиться</v>
      </c>
      <c r="W431" s="8" t="s">
        <v>2938</v>
      </c>
      <c r="X431" s="6"/>
      <c r="Y431" s="6"/>
      <c r="Z431" s="6" t="s">
        <v>192</v>
      </c>
      <c r="AA431" s="6" t="s">
        <v>193</v>
      </c>
    </row>
    <row r="432" spans="1:27" s="4" customFormat="1" ht="51.95" customHeight="1">
      <c r="A432" s="5">
        <v>0</v>
      </c>
      <c r="B432" s="6" t="s">
        <v>2939</v>
      </c>
      <c r="C432" s="7">
        <v>1080</v>
      </c>
      <c r="D432" s="8" t="s">
        <v>2940</v>
      </c>
      <c r="E432" s="8" t="s">
        <v>2941</v>
      </c>
      <c r="F432" s="8" t="s">
        <v>2934</v>
      </c>
      <c r="G432" s="6" t="s">
        <v>121</v>
      </c>
      <c r="H432" s="6" t="s">
        <v>38</v>
      </c>
      <c r="I432" s="8" t="s">
        <v>130</v>
      </c>
      <c r="J432" s="9">
        <v>1</v>
      </c>
      <c r="K432" s="9">
        <v>226</v>
      </c>
      <c r="L432" s="9">
        <v>2024</v>
      </c>
      <c r="M432" s="8" t="s">
        <v>2942</v>
      </c>
      <c r="N432" s="8" t="s">
        <v>41</v>
      </c>
      <c r="O432" s="8" t="s">
        <v>64</v>
      </c>
      <c r="P432" s="6" t="s">
        <v>65</v>
      </c>
      <c r="Q432" s="8" t="s">
        <v>66</v>
      </c>
      <c r="R432" s="10" t="s">
        <v>2943</v>
      </c>
      <c r="S432" s="11"/>
      <c r="T432" s="6"/>
      <c r="U432" s="28" t="str">
        <f>HYPERLINK("https://media.infra-m.ru/1859/1859851/cover/1859851.jpg", "Обложка")</f>
        <v>Обложка</v>
      </c>
      <c r="V432" s="28" t="str">
        <f>HYPERLINK("https://znanium.com/catalog/product/1859851", "Ознакомиться")</f>
        <v>Ознакомиться</v>
      </c>
      <c r="W432" s="8" t="s">
        <v>2938</v>
      </c>
      <c r="X432" s="6" t="s">
        <v>1002</v>
      </c>
      <c r="Y432" s="6"/>
      <c r="Z432" s="6"/>
      <c r="AA432" s="6" t="s">
        <v>387</v>
      </c>
    </row>
    <row r="433" spans="1:27" s="4" customFormat="1" ht="51.95" customHeight="1">
      <c r="A433" s="5">
        <v>0</v>
      </c>
      <c r="B433" s="6" t="s">
        <v>2944</v>
      </c>
      <c r="C433" s="13">
        <v>854.9</v>
      </c>
      <c r="D433" s="8" t="s">
        <v>2945</v>
      </c>
      <c r="E433" s="8" t="s">
        <v>2933</v>
      </c>
      <c r="F433" s="8" t="s">
        <v>2946</v>
      </c>
      <c r="G433" s="6" t="s">
        <v>121</v>
      </c>
      <c r="H433" s="6" t="s">
        <v>207</v>
      </c>
      <c r="I433" s="8" t="s">
        <v>62</v>
      </c>
      <c r="J433" s="9">
        <v>1</v>
      </c>
      <c r="K433" s="9">
        <v>248</v>
      </c>
      <c r="L433" s="9">
        <v>2020</v>
      </c>
      <c r="M433" s="8" t="s">
        <v>2947</v>
      </c>
      <c r="N433" s="8" t="s">
        <v>41</v>
      </c>
      <c r="O433" s="8" t="s">
        <v>64</v>
      </c>
      <c r="P433" s="6" t="s">
        <v>65</v>
      </c>
      <c r="Q433" s="8" t="s">
        <v>66</v>
      </c>
      <c r="R433" s="10" t="s">
        <v>2943</v>
      </c>
      <c r="S433" s="11" t="s">
        <v>2948</v>
      </c>
      <c r="T433" s="6"/>
      <c r="U433" s="28" t="str">
        <f>HYPERLINK("https://media.infra-m.ru/1118/1118431/cover/1118431.jpg", "Обложка")</f>
        <v>Обложка</v>
      </c>
      <c r="V433" s="28" t="str">
        <f>HYPERLINK("https://znanium.com/catalog/product/1859851", "Ознакомиться")</f>
        <v>Ознакомиться</v>
      </c>
      <c r="W433" s="8" t="s">
        <v>2938</v>
      </c>
      <c r="X433" s="6"/>
      <c r="Y433" s="6"/>
      <c r="Z433" s="6"/>
      <c r="AA433" s="6" t="s">
        <v>161</v>
      </c>
    </row>
    <row r="434" spans="1:27" s="4" customFormat="1" ht="51.95" customHeight="1">
      <c r="A434" s="5">
        <v>0</v>
      </c>
      <c r="B434" s="6" t="s">
        <v>2949</v>
      </c>
      <c r="C434" s="13">
        <v>710</v>
      </c>
      <c r="D434" s="8" t="s">
        <v>2950</v>
      </c>
      <c r="E434" s="8" t="s">
        <v>2951</v>
      </c>
      <c r="F434" s="8" t="s">
        <v>129</v>
      </c>
      <c r="G434" s="6" t="s">
        <v>37</v>
      </c>
      <c r="H434" s="6" t="s">
        <v>38</v>
      </c>
      <c r="I434" s="8" t="s">
        <v>62</v>
      </c>
      <c r="J434" s="9">
        <v>1</v>
      </c>
      <c r="K434" s="9">
        <v>157</v>
      </c>
      <c r="L434" s="9">
        <v>2023</v>
      </c>
      <c r="M434" s="8" t="s">
        <v>2952</v>
      </c>
      <c r="N434" s="8" t="s">
        <v>41</v>
      </c>
      <c r="O434" s="8" t="s">
        <v>64</v>
      </c>
      <c r="P434" s="6" t="s">
        <v>65</v>
      </c>
      <c r="Q434" s="8" t="s">
        <v>66</v>
      </c>
      <c r="R434" s="10" t="s">
        <v>76</v>
      </c>
      <c r="S434" s="11" t="s">
        <v>133</v>
      </c>
      <c r="T434" s="6"/>
      <c r="U434" s="28" t="str">
        <f>HYPERLINK("https://media.infra-m.ru/1811/1811409/cover/1811409.jpg", "Обложка")</f>
        <v>Обложка</v>
      </c>
      <c r="V434" s="28" t="str">
        <f>HYPERLINK("https://znanium.com/catalog/product/1811409", "Ознакомиться")</f>
        <v>Ознакомиться</v>
      </c>
      <c r="W434" s="8" t="s">
        <v>134</v>
      </c>
      <c r="X434" s="6"/>
      <c r="Y434" s="6"/>
      <c r="Z434" s="6"/>
      <c r="AA434" s="6" t="s">
        <v>135</v>
      </c>
    </row>
    <row r="435" spans="1:27" s="4" customFormat="1" ht="51.95" customHeight="1">
      <c r="A435" s="5">
        <v>0</v>
      </c>
      <c r="B435" s="6" t="s">
        <v>2953</v>
      </c>
      <c r="C435" s="13">
        <v>950</v>
      </c>
      <c r="D435" s="8" t="s">
        <v>2954</v>
      </c>
      <c r="E435" s="8" t="s">
        <v>2955</v>
      </c>
      <c r="F435" s="8" t="s">
        <v>2956</v>
      </c>
      <c r="G435" s="6" t="s">
        <v>37</v>
      </c>
      <c r="H435" s="6" t="s">
        <v>207</v>
      </c>
      <c r="I435" s="8" t="s">
        <v>62</v>
      </c>
      <c r="J435" s="9">
        <v>1</v>
      </c>
      <c r="K435" s="9">
        <v>208</v>
      </c>
      <c r="L435" s="9">
        <v>2023</v>
      </c>
      <c r="M435" s="8" t="s">
        <v>2957</v>
      </c>
      <c r="N435" s="8" t="s">
        <v>41</v>
      </c>
      <c r="O435" s="8" t="s">
        <v>64</v>
      </c>
      <c r="P435" s="6" t="s">
        <v>65</v>
      </c>
      <c r="Q435" s="8" t="s">
        <v>66</v>
      </c>
      <c r="R435" s="10" t="s">
        <v>2958</v>
      </c>
      <c r="S435" s="11" t="s">
        <v>2959</v>
      </c>
      <c r="T435" s="6"/>
      <c r="U435" s="28" t="str">
        <f>HYPERLINK("https://media.infra-m.ru/1911/1911208/cover/1911208.jpg", "Обложка")</f>
        <v>Обложка</v>
      </c>
      <c r="V435" s="28" t="str">
        <f>HYPERLINK("https://znanium.com/catalog/product/1911208", "Ознакомиться")</f>
        <v>Ознакомиться</v>
      </c>
      <c r="W435" s="8" t="s">
        <v>2418</v>
      </c>
      <c r="X435" s="6"/>
      <c r="Y435" s="6"/>
      <c r="Z435" s="6"/>
      <c r="AA435" s="6" t="s">
        <v>57</v>
      </c>
    </row>
    <row r="436" spans="1:27" s="4" customFormat="1" ht="42" customHeight="1">
      <c r="A436" s="5">
        <v>0</v>
      </c>
      <c r="B436" s="6" t="s">
        <v>2960</v>
      </c>
      <c r="C436" s="13">
        <v>800</v>
      </c>
      <c r="D436" s="8" t="s">
        <v>2961</v>
      </c>
      <c r="E436" s="8" t="s">
        <v>2962</v>
      </c>
      <c r="F436" s="8" t="s">
        <v>1215</v>
      </c>
      <c r="G436" s="6" t="s">
        <v>52</v>
      </c>
      <c r="H436" s="6" t="s">
        <v>38</v>
      </c>
      <c r="I436" s="8" t="s">
        <v>39</v>
      </c>
      <c r="J436" s="9">
        <v>1</v>
      </c>
      <c r="K436" s="9">
        <v>200</v>
      </c>
      <c r="L436" s="9">
        <v>2022</v>
      </c>
      <c r="M436" s="8" t="s">
        <v>2963</v>
      </c>
      <c r="N436" s="8" t="s">
        <v>41</v>
      </c>
      <c r="O436" s="8" t="s">
        <v>64</v>
      </c>
      <c r="P436" s="6" t="s">
        <v>43</v>
      </c>
      <c r="Q436" s="8" t="s">
        <v>44</v>
      </c>
      <c r="R436" s="10" t="s">
        <v>2964</v>
      </c>
      <c r="S436" s="11"/>
      <c r="T436" s="6"/>
      <c r="U436" s="28" t="str">
        <f>HYPERLINK("https://media.infra-m.ru/1864/1864110/cover/1864110.jpg", "Обложка")</f>
        <v>Обложка</v>
      </c>
      <c r="V436" s="28" t="str">
        <f>HYPERLINK("https://znanium.com/catalog/product/1864110", "Ознакомиться")</f>
        <v>Ознакомиться</v>
      </c>
      <c r="W436" s="8" t="s">
        <v>1219</v>
      </c>
      <c r="X436" s="6"/>
      <c r="Y436" s="6"/>
      <c r="Z436" s="6"/>
      <c r="AA436" s="6" t="s">
        <v>108</v>
      </c>
    </row>
    <row r="437" spans="1:27" s="4" customFormat="1" ht="51.95" customHeight="1">
      <c r="A437" s="5">
        <v>0</v>
      </c>
      <c r="B437" s="6" t="s">
        <v>2965</v>
      </c>
      <c r="C437" s="7">
        <v>1110</v>
      </c>
      <c r="D437" s="8" t="s">
        <v>2966</v>
      </c>
      <c r="E437" s="8" t="s">
        <v>2967</v>
      </c>
      <c r="F437" s="8" t="s">
        <v>2968</v>
      </c>
      <c r="G437" s="6" t="s">
        <v>52</v>
      </c>
      <c r="H437" s="6" t="s">
        <v>355</v>
      </c>
      <c r="I437" s="8" t="s">
        <v>130</v>
      </c>
      <c r="J437" s="9">
        <v>1</v>
      </c>
      <c r="K437" s="9">
        <v>240</v>
      </c>
      <c r="L437" s="9">
        <v>2024</v>
      </c>
      <c r="M437" s="8" t="s">
        <v>2969</v>
      </c>
      <c r="N437" s="8" t="s">
        <v>41</v>
      </c>
      <c r="O437" s="8" t="s">
        <v>64</v>
      </c>
      <c r="P437" s="6" t="s">
        <v>65</v>
      </c>
      <c r="Q437" s="8" t="s">
        <v>66</v>
      </c>
      <c r="R437" s="10" t="s">
        <v>2970</v>
      </c>
      <c r="S437" s="11" t="s">
        <v>2930</v>
      </c>
      <c r="T437" s="6"/>
      <c r="U437" s="28" t="str">
        <f>HYPERLINK("https://media.infra-m.ru/2111/2111933/cover/2111933.jpg", "Обложка")</f>
        <v>Обложка</v>
      </c>
      <c r="V437" s="28" t="str">
        <f>HYPERLINK("https://znanium.com/catalog/product/2111933", "Ознакомиться")</f>
        <v>Ознакомиться</v>
      </c>
      <c r="W437" s="8" t="s">
        <v>620</v>
      </c>
      <c r="X437" s="6"/>
      <c r="Y437" s="6"/>
      <c r="Z437" s="6"/>
      <c r="AA437" s="6" t="s">
        <v>320</v>
      </c>
    </row>
    <row r="438" spans="1:27" s="4" customFormat="1" ht="44.1" customHeight="1">
      <c r="A438" s="5">
        <v>0</v>
      </c>
      <c r="B438" s="6" t="s">
        <v>2971</v>
      </c>
      <c r="C438" s="13">
        <v>950</v>
      </c>
      <c r="D438" s="8" t="s">
        <v>2972</v>
      </c>
      <c r="E438" s="8" t="s">
        <v>2973</v>
      </c>
      <c r="F438" s="8" t="s">
        <v>615</v>
      </c>
      <c r="G438" s="6" t="s">
        <v>52</v>
      </c>
      <c r="H438" s="6" t="s">
        <v>355</v>
      </c>
      <c r="I438" s="8"/>
      <c r="J438" s="9">
        <v>1</v>
      </c>
      <c r="K438" s="9">
        <v>256</v>
      </c>
      <c r="L438" s="9">
        <v>2020</v>
      </c>
      <c r="M438" s="8" t="s">
        <v>2974</v>
      </c>
      <c r="N438" s="8" t="s">
        <v>41</v>
      </c>
      <c r="O438" s="8" t="s">
        <v>64</v>
      </c>
      <c r="P438" s="6" t="s">
        <v>43</v>
      </c>
      <c r="Q438" s="8" t="s">
        <v>44</v>
      </c>
      <c r="R438" s="10" t="s">
        <v>2975</v>
      </c>
      <c r="S438" s="11"/>
      <c r="T438" s="6"/>
      <c r="U438" s="28" t="str">
        <f>HYPERLINK("https://media.infra-m.ru/1089/1089803/cover/1089803.jpg", "Обложка")</f>
        <v>Обложка</v>
      </c>
      <c r="V438" s="28" t="str">
        <f>HYPERLINK("https://znanium.com/catalog/product/1089803", "Ознакомиться")</f>
        <v>Ознакомиться</v>
      </c>
      <c r="W438" s="8" t="s">
        <v>620</v>
      </c>
      <c r="X438" s="6"/>
      <c r="Y438" s="6"/>
      <c r="Z438" s="6"/>
      <c r="AA438" s="6" t="s">
        <v>57</v>
      </c>
    </row>
    <row r="439" spans="1:27" s="4" customFormat="1" ht="51.95" customHeight="1">
      <c r="A439" s="5">
        <v>0</v>
      </c>
      <c r="B439" s="6" t="s">
        <v>2976</v>
      </c>
      <c r="C439" s="7">
        <v>1234</v>
      </c>
      <c r="D439" s="8" t="s">
        <v>2977</v>
      </c>
      <c r="E439" s="8" t="s">
        <v>2978</v>
      </c>
      <c r="F439" s="8" t="s">
        <v>2979</v>
      </c>
      <c r="G439" s="6" t="s">
        <v>37</v>
      </c>
      <c r="H439" s="6" t="s">
        <v>38</v>
      </c>
      <c r="I439" s="8" t="s">
        <v>62</v>
      </c>
      <c r="J439" s="9">
        <v>1</v>
      </c>
      <c r="K439" s="9">
        <v>268</v>
      </c>
      <c r="L439" s="9">
        <v>2024</v>
      </c>
      <c r="M439" s="8" t="s">
        <v>2980</v>
      </c>
      <c r="N439" s="8" t="s">
        <v>41</v>
      </c>
      <c r="O439" s="8" t="s">
        <v>181</v>
      </c>
      <c r="P439" s="6" t="s">
        <v>85</v>
      </c>
      <c r="Q439" s="8" t="s">
        <v>66</v>
      </c>
      <c r="R439" s="10" t="s">
        <v>1599</v>
      </c>
      <c r="S439" s="11" t="s">
        <v>2981</v>
      </c>
      <c r="T439" s="6"/>
      <c r="U439" s="28" t="str">
        <f>HYPERLINK("https://media.infra-m.ru/2110/2110064/cover/2110064.jpg", "Обложка")</f>
        <v>Обложка</v>
      </c>
      <c r="V439" s="28" t="str">
        <f>HYPERLINK("https://znanium.com/catalog/product/1237077", "Ознакомиться")</f>
        <v>Ознакомиться</v>
      </c>
      <c r="W439" s="8" t="s">
        <v>730</v>
      </c>
      <c r="X439" s="6"/>
      <c r="Y439" s="6"/>
      <c r="Z439" s="6"/>
      <c r="AA439" s="6" t="s">
        <v>144</v>
      </c>
    </row>
    <row r="440" spans="1:27" s="4" customFormat="1" ht="51.95" customHeight="1">
      <c r="A440" s="5">
        <v>0</v>
      </c>
      <c r="B440" s="6" t="s">
        <v>2982</v>
      </c>
      <c r="C440" s="7">
        <v>2200</v>
      </c>
      <c r="D440" s="8" t="s">
        <v>2983</v>
      </c>
      <c r="E440" s="8" t="s">
        <v>2984</v>
      </c>
      <c r="F440" s="8" t="s">
        <v>2985</v>
      </c>
      <c r="G440" s="6" t="s">
        <v>121</v>
      </c>
      <c r="H440" s="6" t="s">
        <v>38</v>
      </c>
      <c r="I440" s="8" t="s">
        <v>130</v>
      </c>
      <c r="J440" s="9">
        <v>1</v>
      </c>
      <c r="K440" s="9">
        <v>490</v>
      </c>
      <c r="L440" s="9">
        <v>2023</v>
      </c>
      <c r="M440" s="8" t="s">
        <v>2986</v>
      </c>
      <c r="N440" s="8" t="s">
        <v>41</v>
      </c>
      <c r="O440" s="8" t="s">
        <v>64</v>
      </c>
      <c r="P440" s="6" t="s">
        <v>85</v>
      </c>
      <c r="Q440" s="8" t="s">
        <v>132</v>
      </c>
      <c r="R440" s="10" t="s">
        <v>1599</v>
      </c>
      <c r="S440" s="11" t="s">
        <v>2987</v>
      </c>
      <c r="T440" s="6"/>
      <c r="U440" s="28" t="str">
        <f>HYPERLINK("https://media.infra-m.ru/2040/2040004/cover/2040004.jpg", "Обложка")</f>
        <v>Обложка</v>
      </c>
      <c r="V440" s="28" t="str">
        <f>HYPERLINK("https://znanium.com/catalog/product/1913019", "Ознакомиться")</f>
        <v>Ознакомиться</v>
      </c>
      <c r="W440" s="8" t="s">
        <v>730</v>
      </c>
      <c r="X440" s="6"/>
      <c r="Y440" s="6"/>
      <c r="Z440" s="6"/>
      <c r="AA440" s="6" t="s">
        <v>2988</v>
      </c>
    </row>
    <row r="441" spans="1:27" s="4" customFormat="1" ht="51.95" customHeight="1">
      <c r="A441" s="5">
        <v>0</v>
      </c>
      <c r="B441" s="6" t="s">
        <v>2989</v>
      </c>
      <c r="C441" s="13">
        <v>584.9</v>
      </c>
      <c r="D441" s="8" t="s">
        <v>2990</v>
      </c>
      <c r="E441" s="8" t="s">
        <v>2991</v>
      </c>
      <c r="F441" s="8" t="s">
        <v>2992</v>
      </c>
      <c r="G441" s="6" t="s">
        <v>52</v>
      </c>
      <c r="H441" s="6" t="s">
        <v>264</v>
      </c>
      <c r="I441" s="8" t="s">
        <v>959</v>
      </c>
      <c r="J441" s="9">
        <v>1</v>
      </c>
      <c r="K441" s="9">
        <v>166</v>
      </c>
      <c r="L441" s="9">
        <v>2020</v>
      </c>
      <c r="M441" s="8" t="s">
        <v>2993</v>
      </c>
      <c r="N441" s="8" t="s">
        <v>41</v>
      </c>
      <c r="O441" s="8" t="s">
        <v>54</v>
      </c>
      <c r="P441" s="6" t="s">
        <v>43</v>
      </c>
      <c r="Q441" s="8" t="s">
        <v>86</v>
      </c>
      <c r="R441" s="10" t="s">
        <v>2994</v>
      </c>
      <c r="S441" s="11"/>
      <c r="T441" s="6"/>
      <c r="U441" s="28" t="str">
        <f>HYPERLINK("https://media.infra-m.ru/1062/1062005/cover/1062005.jpg", "Обложка")</f>
        <v>Обложка</v>
      </c>
      <c r="V441" s="28" t="str">
        <f>HYPERLINK("https://znanium.com/catalog/product/1062005", "Ознакомиться")</f>
        <v>Ознакомиться</v>
      </c>
      <c r="W441" s="8" t="s">
        <v>963</v>
      </c>
      <c r="X441" s="6"/>
      <c r="Y441" s="6"/>
      <c r="Z441" s="6"/>
      <c r="AA441" s="6" t="s">
        <v>70</v>
      </c>
    </row>
    <row r="442" spans="1:27" s="4" customFormat="1" ht="44.1" customHeight="1">
      <c r="A442" s="5">
        <v>0</v>
      </c>
      <c r="B442" s="6" t="s">
        <v>2995</v>
      </c>
      <c r="C442" s="7">
        <v>1120</v>
      </c>
      <c r="D442" s="8" t="s">
        <v>2996</v>
      </c>
      <c r="E442" s="8" t="s">
        <v>2997</v>
      </c>
      <c r="F442" s="8" t="s">
        <v>615</v>
      </c>
      <c r="G442" s="6" t="s">
        <v>121</v>
      </c>
      <c r="H442" s="6" t="s">
        <v>38</v>
      </c>
      <c r="I442" s="8" t="s">
        <v>39</v>
      </c>
      <c r="J442" s="9">
        <v>1</v>
      </c>
      <c r="K442" s="9">
        <v>225</v>
      </c>
      <c r="L442" s="9">
        <v>2023</v>
      </c>
      <c r="M442" s="8" t="s">
        <v>2998</v>
      </c>
      <c r="N442" s="8" t="s">
        <v>41</v>
      </c>
      <c r="O442" s="8" t="s">
        <v>64</v>
      </c>
      <c r="P442" s="6" t="s">
        <v>43</v>
      </c>
      <c r="Q442" s="8" t="s">
        <v>44</v>
      </c>
      <c r="R442" s="10" t="s">
        <v>2999</v>
      </c>
      <c r="S442" s="11"/>
      <c r="T442" s="6"/>
      <c r="U442" s="28" t="str">
        <f>HYPERLINK("https://media.infra-m.ru/1915/1915812/cover/1915812.jpg", "Обложка")</f>
        <v>Обложка</v>
      </c>
      <c r="V442" s="28" t="str">
        <f>HYPERLINK("https://znanium.com/catalog/product/1915812", "Ознакомиться")</f>
        <v>Ознакомиться</v>
      </c>
      <c r="W442" s="8" t="s">
        <v>620</v>
      </c>
      <c r="X442" s="6" t="s">
        <v>628</v>
      </c>
      <c r="Y442" s="6"/>
      <c r="Z442" s="6"/>
      <c r="AA442" s="6" t="s">
        <v>574</v>
      </c>
    </row>
    <row r="443" spans="1:27" s="4" customFormat="1" ht="42" customHeight="1">
      <c r="A443" s="5">
        <v>0</v>
      </c>
      <c r="B443" s="6" t="s">
        <v>3000</v>
      </c>
      <c r="C443" s="13">
        <v>714.9</v>
      </c>
      <c r="D443" s="8" t="s">
        <v>3001</v>
      </c>
      <c r="E443" s="8" t="s">
        <v>3002</v>
      </c>
      <c r="F443" s="8" t="s">
        <v>3003</v>
      </c>
      <c r="G443" s="6" t="s">
        <v>121</v>
      </c>
      <c r="H443" s="6" t="s">
        <v>38</v>
      </c>
      <c r="I443" s="8" t="s">
        <v>1102</v>
      </c>
      <c r="J443" s="9">
        <v>1</v>
      </c>
      <c r="K443" s="9">
        <v>159</v>
      </c>
      <c r="L443" s="9">
        <v>2023</v>
      </c>
      <c r="M443" s="8" t="s">
        <v>3004</v>
      </c>
      <c r="N443" s="8" t="s">
        <v>41</v>
      </c>
      <c r="O443" s="8" t="s">
        <v>64</v>
      </c>
      <c r="P443" s="6" t="s">
        <v>43</v>
      </c>
      <c r="Q443" s="8" t="s">
        <v>44</v>
      </c>
      <c r="R443" s="10" t="s">
        <v>3005</v>
      </c>
      <c r="S443" s="11"/>
      <c r="T443" s="6"/>
      <c r="U443" s="28" t="str">
        <f>HYPERLINK("https://media.infra-m.ru/2006/2006890/cover/2006890.jpg", "Обложка")</f>
        <v>Обложка</v>
      </c>
      <c r="V443" s="12"/>
      <c r="W443" s="8" t="s">
        <v>463</v>
      </c>
      <c r="X443" s="6"/>
      <c r="Y443" s="6"/>
      <c r="Z443" s="6"/>
      <c r="AA443" s="6" t="s">
        <v>91</v>
      </c>
    </row>
    <row r="444" spans="1:27" s="4" customFormat="1" ht="51.95" customHeight="1">
      <c r="A444" s="5">
        <v>0</v>
      </c>
      <c r="B444" s="6" t="s">
        <v>3006</v>
      </c>
      <c r="C444" s="13">
        <v>840</v>
      </c>
      <c r="D444" s="8" t="s">
        <v>3007</v>
      </c>
      <c r="E444" s="8" t="s">
        <v>3008</v>
      </c>
      <c r="F444" s="8" t="s">
        <v>3009</v>
      </c>
      <c r="G444" s="6" t="s">
        <v>37</v>
      </c>
      <c r="H444" s="6" t="s">
        <v>38</v>
      </c>
      <c r="I444" s="8" t="s">
        <v>83</v>
      </c>
      <c r="J444" s="9">
        <v>1</v>
      </c>
      <c r="K444" s="9">
        <v>221</v>
      </c>
      <c r="L444" s="9">
        <v>2022</v>
      </c>
      <c r="M444" s="8" t="s">
        <v>3010</v>
      </c>
      <c r="N444" s="8" t="s">
        <v>41</v>
      </c>
      <c r="O444" s="8" t="s">
        <v>64</v>
      </c>
      <c r="P444" s="6" t="s">
        <v>85</v>
      </c>
      <c r="Q444" s="8" t="s">
        <v>86</v>
      </c>
      <c r="R444" s="10" t="s">
        <v>915</v>
      </c>
      <c r="S444" s="11" t="s">
        <v>3011</v>
      </c>
      <c r="T444" s="6"/>
      <c r="U444" s="28" t="str">
        <f>HYPERLINK("https://media.infra-m.ru/1858/1858238/cover/1858238.jpg", "Обложка")</f>
        <v>Обложка</v>
      </c>
      <c r="V444" s="28" t="str">
        <f>HYPERLINK("https://znanium.com/catalog/product/1858238", "Ознакомиться")</f>
        <v>Ознакомиться</v>
      </c>
      <c r="W444" s="8" t="s">
        <v>730</v>
      </c>
      <c r="X444" s="6"/>
      <c r="Y444" s="6"/>
      <c r="Z444" s="6"/>
      <c r="AA444" s="6" t="s">
        <v>47</v>
      </c>
    </row>
    <row r="445" spans="1:27" s="4" customFormat="1" ht="51.95" customHeight="1">
      <c r="A445" s="5">
        <v>0</v>
      </c>
      <c r="B445" s="6" t="s">
        <v>3012</v>
      </c>
      <c r="C445" s="7">
        <v>1294.9000000000001</v>
      </c>
      <c r="D445" s="8" t="s">
        <v>3013</v>
      </c>
      <c r="E445" s="8" t="s">
        <v>3014</v>
      </c>
      <c r="F445" s="8" t="s">
        <v>3015</v>
      </c>
      <c r="G445" s="6" t="s">
        <v>52</v>
      </c>
      <c r="H445" s="6" t="s">
        <v>38</v>
      </c>
      <c r="I445" s="8" t="s">
        <v>39</v>
      </c>
      <c r="J445" s="9">
        <v>1</v>
      </c>
      <c r="K445" s="9">
        <v>286</v>
      </c>
      <c r="L445" s="9">
        <v>2023</v>
      </c>
      <c r="M445" s="8" t="s">
        <v>3016</v>
      </c>
      <c r="N445" s="8" t="s">
        <v>41</v>
      </c>
      <c r="O445" s="8" t="s">
        <v>97</v>
      </c>
      <c r="P445" s="6" t="s">
        <v>43</v>
      </c>
      <c r="Q445" s="8" t="s">
        <v>44</v>
      </c>
      <c r="R445" s="10" t="s">
        <v>3017</v>
      </c>
      <c r="S445" s="11"/>
      <c r="T445" s="6"/>
      <c r="U445" s="28" t="str">
        <f>HYPERLINK("https://media.infra-m.ru/1864/1864185/cover/1864185.jpg", "Обложка")</f>
        <v>Обложка</v>
      </c>
      <c r="V445" s="28" t="str">
        <f>HYPERLINK("https://znanium.com/catalog/product/1864185", "Ознакомиться")</f>
        <v>Ознакомиться</v>
      </c>
      <c r="W445" s="8" t="s">
        <v>3018</v>
      </c>
      <c r="X445" s="6"/>
      <c r="Y445" s="6"/>
      <c r="Z445" s="6"/>
      <c r="AA445" s="6" t="s">
        <v>57</v>
      </c>
    </row>
    <row r="446" spans="1:27" s="4" customFormat="1" ht="51.95" customHeight="1">
      <c r="A446" s="5">
        <v>0</v>
      </c>
      <c r="B446" s="6" t="s">
        <v>3019</v>
      </c>
      <c r="C446" s="7">
        <v>1490</v>
      </c>
      <c r="D446" s="8" t="s">
        <v>3020</v>
      </c>
      <c r="E446" s="8" t="s">
        <v>3021</v>
      </c>
      <c r="F446" s="8" t="s">
        <v>3022</v>
      </c>
      <c r="G446" s="6" t="s">
        <v>121</v>
      </c>
      <c r="H446" s="6" t="s">
        <v>38</v>
      </c>
      <c r="I446" s="8" t="s">
        <v>83</v>
      </c>
      <c r="J446" s="9">
        <v>1</v>
      </c>
      <c r="K446" s="9">
        <v>296</v>
      </c>
      <c r="L446" s="9">
        <v>2022</v>
      </c>
      <c r="M446" s="8" t="s">
        <v>3023</v>
      </c>
      <c r="N446" s="8" t="s">
        <v>41</v>
      </c>
      <c r="O446" s="8" t="s">
        <v>64</v>
      </c>
      <c r="P446" s="6" t="s">
        <v>85</v>
      </c>
      <c r="Q446" s="8" t="s">
        <v>86</v>
      </c>
      <c r="R446" s="10" t="s">
        <v>3024</v>
      </c>
      <c r="S446" s="11" t="s">
        <v>3025</v>
      </c>
      <c r="T446" s="6"/>
      <c r="U446" s="28" t="str">
        <f>HYPERLINK("https://media.infra-m.ru/1225/1225035/cover/1225035.jpg", "Обложка")</f>
        <v>Обложка</v>
      </c>
      <c r="V446" s="28" t="str">
        <f>HYPERLINK("https://znanium.com/catalog/product/1225035", "Ознакомиться")</f>
        <v>Ознакомиться</v>
      </c>
      <c r="W446" s="8" t="s">
        <v>814</v>
      </c>
      <c r="X446" s="6"/>
      <c r="Y446" s="6"/>
      <c r="Z446" s="6"/>
      <c r="AA446" s="6" t="s">
        <v>78</v>
      </c>
    </row>
    <row r="447" spans="1:27" s="4" customFormat="1" ht="51.95" customHeight="1">
      <c r="A447" s="5">
        <v>0</v>
      </c>
      <c r="B447" s="6" t="s">
        <v>3026</v>
      </c>
      <c r="C447" s="7">
        <v>1130</v>
      </c>
      <c r="D447" s="8" t="s">
        <v>3027</v>
      </c>
      <c r="E447" s="8" t="s">
        <v>3028</v>
      </c>
      <c r="F447" s="8" t="s">
        <v>1660</v>
      </c>
      <c r="G447" s="6" t="s">
        <v>52</v>
      </c>
      <c r="H447" s="6" t="s">
        <v>38</v>
      </c>
      <c r="I447" s="8" t="s">
        <v>39</v>
      </c>
      <c r="J447" s="9">
        <v>1</v>
      </c>
      <c r="K447" s="9">
        <v>267</v>
      </c>
      <c r="L447" s="9">
        <v>2022</v>
      </c>
      <c r="M447" s="8" t="s">
        <v>3029</v>
      </c>
      <c r="N447" s="8" t="s">
        <v>41</v>
      </c>
      <c r="O447" s="8" t="s">
        <v>54</v>
      </c>
      <c r="P447" s="6" t="s">
        <v>43</v>
      </c>
      <c r="Q447" s="8" t="s">
        <v>44</v>
      </c>
      <c r="R447" s="10" t="s">
        <v>3030</v>
      </c>
      <c r="S447" s="11"/>
      <c r="T447" s="6"/>
      <c r="U447" s="28" t="str">
        <f>HYPERLINK("https://media.infra-m.ru/1870/1870597/cover/1870597.jpg", "Обложка")</f>
        <v>Обложка</v>
      </c>
      <c r="V447" s="28" t="str">
        <f>HYPERLINK("https://znanium.com/catalog/product/1870597", "Ознакомиться")</f>
        <v>Ознакомиться</v>
      </c>
      <c r="W447" s="8" t="s">
        <v>963</v>
      </c>
      <c r="X447" s="6"/>
      <c r="Y447" s="6"/>
      <c r="Z447" s="6"/>
      <c r="AA447" s="6" t="s">
        <v>78</v>
      </c>
    </row>
    <row r="448" spans="1:27" s="4" customFormat="1" ht="42" customHeight="1">
      <c r="A448" s="5">
        <v>0</v>
      </c>
      <c r="B448" s="6" t="s">
        <v>3031</v>
      </c>
      <c r="C448" s="7">
        <v>1520</v>
      </c>
      <c r="D448" s="8" t="s">
        <v>3032</v>
      </c>
      <c r="E448" s="8" t="s">
        <v>3033</v>
      </c>
      <c r="F448" s="8" t="s">
        <v>3034</v>
      </c>
      <c r="G448" s="6" t="s">
        <v>37</v>
      </c>
      <c r="H448" s="6" t="s">
        <v>38</v>
      </c>
      <c r="I448" s="8" t="s">
        <v>62</v>
      </c>
      <c r="J448" s="9">
        <v>1</v>
      </c>
      <c r="K448" s="9">
        <v>400</v>
      </c>
      <c r="L448" s="9">
        <v>2022</v>
      </c>
      <c r="M448" s="8" t="s">
        <v>3035</v>
      </c>
      <c r="N448" s="8" t="s">
        <v>41</v>
      </c>
      <c r="O448" s="8" t="s">
        <v>97</v>
      </c>
      <c r="P448" s="6" t="s">
        <v>65</v>
      </c>
      <c r="Q448" s="8" t="s">
        <v>66</v>
      </c>
      <c r="R448" s="10" t="s">
        <v>3036</v>
      </c>
      <c r="S448" s="11"/>
      <c r="T448" s="6"/>
      <c r="U448" s="28" t="str">
        <f>HYPERLINK("https://media.infra-m.ru/1859/1859833/cover/1859833.jpg", "Обложка")</f>
        <v>Обложка</v>
      </c>
      <c r="V448" s="28" t="str">
        <f>HYPERLINK("https://znanium.com/catalog/product/1859833", "Ознакомиться")</f>
        <v>Ознакомиться</v>
      </c>
      <c r="W448" s="8" t="s">
        <v>3037</v>
      </c>
      <c r="X448" s="6"/>
      <c r="Y448" s="6"/>
      <c r="Z448" s="6"/>
      <c r="AA448" s="6" t="s">
        <v>161</v>
      </c>
    </row>
    <row r="449" spans="1:27" s="4" customFormat="1" ht="51.95" customHeight="1">
      <c r="A449" s="5">
        <v>0</v>
      </c>
      <c r="B449" s="6" t="s">
        <v>3038</v>
      </c>
      <c r="C449" s="7">
        <v>1094.9000000000001</v>
      </c>
      <c r="D449" s="8" t="s">
        <v>3039</v>
      </c>
      <c r="E449" s="8" t="s">
        <v>3040</v>
      </c>
      <c r="F449" s="8" t="s">
        <v>3041</v>
      </c>
      <c r="G449" s="6" t="s">
        <v>121</v>
      </c>
      <c r="H449" s="6" t="s">
        <v>264</v>
      </c>
      <c r="I449" s="8"/>
      <c r="J449" s="9">
        <v>1</v>
      </c>
      <c r="K449" s="9">
        <v>288</v>
      </c>
      <c r="L449" s="9">
        <v>2022</v>
      </c>
      <c r="M449" s="8" t="s">
        <v>3042</v>
      </c>
      <c r="N449" s="8" t="s">
        <v>41</v>
      </c>
      <c r="O449" s="8" t="s">
        <v>97</v>
      </c>
      <c r="P449" s="6" t="s">
        <v>65</v>
      </c>
      <c r="Q449" s="8" t="s">
        <v>66</v>
      </c>
      <c r="R449" s="10" t="s">
        <v>3043</v>
      </c>
      <c r="S449" s="11" t="s">
        <v>3044</v>
      </c>
      <c r="T449" s="6"/>
      <c r="U449" s="28" t="str">
        <f>HYPERLINK("https://media.infra-m.ru/1079/1079866/cover/1079866.jpg", "Обложка")</f>
        <v>Обложка</v>
      </c>
      <c r="V449" s="28" t="str">
        <f>HYPERLINK("https://znanium.com/catalog/product/1079866", "Ознакомиться")</f>
        <v>Ознакомиться</v>
      </c>
      <c r="W449" s="8" t="s">
        <v>582</v>
      </c>
      <c r="X449" s="6"/>
      <c r="Y449" s="6"/>
      <c r="Z449" s="6"/>
      <c r="AA449" s="6" t="s">
        <v>47</v>
      </c>
    </row>
    <row r="450" spans="1:27" s="4" customFormat="1" ht="51.95" customHeight="1">
      <c r="A450" s="5">
        <v>0</v>
      </c>
      <c r="B450" s="6" t="s">
        <v>3045</v>
      </c>
      <c r="C450" s="7">
        <v>1430</v>
      </c>
      <c r="D450" s="8" t="s">
        <v>3046</v>
      </c>
      <c r="E450" s="8" t="s">
        <v>3047</v>
      </c>
      <c r="F450" s="8" t="s">
        <v>1277</v>
      </c>
      <c r="G450" s="6" t="s">
        <v>37</v>
      </c>
      <c r="H450" s="6" t="s">
        <v>355</v>
      </c>
      <c r="I450" s="8" t="s">
        <v>62</v>
      </c>
      <c r="J450" s="9">
        <v>1</v>
      </c>
      <c r="K450" s="9">
        <v>317</v>
      </c>
      <c r="L450" s="9">
        <v>2023</v>
      </c>
      <c r="M450" s="8" t="s">
        <v>3048</v>
      </c>
      <c r="N450" s="8" t="s">
        <v>41</v>
      </c>
      <c r="O450" s="8" t="s">
        <v>54</v>
      </c>
      <c r="P450" s="6" t="s">
        <v>65</v>
      </c>
      <c r="Q450" s="8" t="s">
        <v>66</v>
      </c>
      <c r="R450" s="10" t="s">
        <v>3049</v>
      </c>
      <c r="S450" s="11" t="s">
        <v>3050</v>
      </c>
      <c r="T450" s="6" t="s">
        <v>89</v>
      </c>
      <c r="U450" s="28" t="str">
        <f>HYPERLINK("https://media.infra-m.ru/1894/1894387/cover/1894387.jpg", "Обложка")</f>
        <v>Обложка</v>
      </c>
      <c r="V450" s="28" t="str">
        <f>HYPERLINK("https://znanium.com/catalog/product/1894387", "Ознакомиться")</f>
        <v>Ознакомиться</v>
      </c>
      <c r="W450" s="8" t="s">
        <v>1001</v>
      </c>
      <c r="X450" s="6"/>
      <c r="Y450" s="6"/>
      <c r="Z450" s="6"/>
      <c r="AA450" s="6" t="s">
        <v>70</v>
      </c>
    </row>
    <row r="451" spans="1:27" s="4" customFormat="1" ht="51.95" customHeight="1">
      <c r="A451" s="5">
        <v>0</v>
      </c>
      <c r="B451" s="6" t="s">
        <v>3051</v>
      </c>
      <c r="C451" s="13">
        <v>754.9</v>
      </c>
      <c r="D451" s="8" t="s">
        <v>3052</v>
      </c>
      <c r="E451" s="8" t="s">
        <v>3053</v>
      </c>
      <c r="F451" s="8" t="s">
        <v>726</v>
      </c>
      <c r="G451" s="6" t="s">
        <v>121</v>
      </c>
      <c r="H451" s="6" t="s">
        <v>38</v>
      </c>
      <c r="I451" s="8" t="s">
        <v>83</v>
      </c>
      <c r="J451" s="9">
        <v>1</v>
      </c>
      <c r="K451" s="9">
        <v>260</v>
      </c>
      <c r="L451" s="9">
        <v>2018</v>
      </c>
      <c r="M451" s="8" t="s">
        <v>3054</v>
      </c>
      <c r="N451" s="8" t="s">
        <v>41</v>
      </c>
      <c r="O451" s="8" t="s">
        <v>64</v>
      </c>
      <c r="P451" s="6" t="s">
        <v>65</v>
      </c>
      <c r="Q451" s="8" t="s">
        <v>86</v>
      </c>
      <c r="R451" s="10" t="s">
        <v>728</v>
      </c>
      <c r="S451" s="11" t="s">
        <v>3055</v>
      </c>
      <c r="T451" s="6"/>
      <c r="U451" s="28" t="str">
        <f>HYPERLINK("https://media.infra-m.ru/0902/0902313/cover/902313.jpg", "Обложка")</f>
        <v>Обложка</v>
      </c>
      <c r="V451" s="28" t="str">
        <f>HYPERLINK("https://znanium.com/catalog/product/902313", "Ознакомиться")</f>
        <v>Ознакомиться</v>
      </c>
      <c r="W451" s="8" t="s">
        <v>730</v>
      </c>
      <c r="X451" s="6"/>
      <c r="Y451" s="6"/>
      <c r="Z451" s="6"/>
      <c r="AA451" s="6" t="s">
        <v>144</v>
      </c>
    </row>
    <row r="452" spans="1:27" s="4" customFormat="1" ht="42" customHeight="1">
      <c r="A452" s="5">
        <v>0</v>
      </c>
      <c r="B452" s="6" t="s">
        <v>3056</v>
      </c>
      <c r="C452" s="13">
        <v>654</v>
      </c>
      <c r="D452" s="8" t="s">
        <v>3057</v>
      </c>
      <c r="E452" s="8" t="s">
        <v>3058</v>
      </c>
      <c r="F452" s="8" t="s">
        <v>3059</v>
      </c>
      <c r="G452" s="6" t="s">
        <v>52</v>
      </c>
      <c r="H452" s="6" t="s">
        <v>38</v>
      </c>
      <c r="I452" s="8" t="s">
        <v>39</v>
      </c>
      <c r="J452" s="9">
        <v>1</v>
      </c>
      <c r="K452" s="9">
        <v>142</v>
      </c>
      <c r="L452" s="9">
        <v>2024</v>
      </c>
      <c r="M452" s="8" t="s">
        <v>3060</v>
      </c>
      <c r="N452" s="8" t="s">
        <v>41</v>
      </c>
      <c r="O452" s="8" t="s">
        <v>64</v>
      </c>
      <c r="P452" s="6" t="s">
        <v>43</v>
      </c>
      <c r="Q452" s="8" t="s">
        <v>44</v>
      </c>
      <c r="R452" s="10" t="s">
        <v>3061</v>
      </c>
      <c r="S452" s="11"/>
      <c r="T452" s="6"/>
      <c r="U452" s="28" t="str">
        <f>HYPERLINK("https://media.infra-m.ru/2116/2116982/cover/2116982.jpg", "Обложка")</f>
        <v>Обложка</v>
      </c>
      <c r="V452" s="28" t="str">
        <f>HYPERLINK("https://znanium.com/catalog/product/1481074", "Ознакомиться")</f>
        <v>Ознакомиться</v>
      </c>
      <c r="W452" s="8" t="s">
        <v>1401</v>
      </c>
      <c r="X452" s="6"/>
      <c r="Y452" s="6"/>
      <c r="Z452" s="6"/>
      <c r="AA452" s="6" t="s">
        <v>161</v>
      </c>
    </row>
    <row r="453" spans="1:27" s="4" customFormat="1" ht="51.95" customHeight="1">
      <c r="A453" s="5">
        <v>0</v>
      </c>
      <c r="B453" s="6" t="s">
        <v>3062</v>
      </c>
      <c r="C453" s="13">
        <v>730</v>
      </c>
      <c r="D453" s="8" t="s">
        <v>3063</v>
      </c>
      <c r="E453" s="8" t="s">
        <v>3064</v>
      </c>
      <c r="F453" s="8" t="s">
        <v>3065</v>
      </c>
      <c r="G453" s="6" t="s">
        <v>37</v>
      </c>
      <c r="H453" s="6" t="s">
        <v>38</v>
      </c>
      <c r="I453" s="8" t="s">
        <v>1976</v>
      </c>
      <c r="J453" s="9">
        <v>1</v>
      </c>
      <c r="K453" s="9">
        <v>156</v>
      </c>
      <c r="L453" s="9">
        <v>2023</v>
      </c>
      <c r="M453" s="8" t="s">
        <v>3066</v>
      </c>
      <c r="N453" s="8" t="s">
        <v>41</v>
      </c>
      <c r="O453" s="8" t="s">
        <v>54</v>
      </c>
      <c r="P453" s="6" t="s">
        <v>85</v>
      </c>
      <c r="Q453" s="8" t="s">
        <v>1086</v>
      </c>
      <c r="R453" s="10" t="s">
        <v>3067</v>
      </c>
      <c r="S453" s="11" t="s">
        <v>3068</v>
      </c>
      <c r="T453" s="6" t="s">
        <v>89</v>
      </c>
      <c r="U453" s="28" t="str">
        <f>HYPERLINK("https://media.infra-m.ru/1056/1056237/cover/1056237.jpg", "Обложка")</f>
        <v>Обложка</v>
      </c>
      <c r="V453" s="28" t="str">
        <f>HYPERLINK("https://znanium.com/catalog/product/1056237", "Ознакомиться")</f>
        <v>Ознакомиться</v>
      </c>
      <c r="W453" s="8" t="s">
        <v>3069</v>
      </c>
      <c r="X453" s="6"/>
      <c r="Y453" s="6"/>
      <c r="Z453" s="6"/>
      <c r="AA453" s="6" t="s">
        <v>193</v>
      </c>
    </row>
    <row r="454" spans="1:27" s="4" customFormat="1" ht="51.95" customHeight="1">
      <c r="A454" s="5">
        <v>0</v>
      </c>
      <c r="B454" s="6" t="s">
        <v>3070</v>
      </c>
      <c r="C454" s="13">
        <v>730</v>
      </c>
      <c r="D454" s="8" t="s">
        <v>3071</v>
      </c>
      <c r="E454" s="8" t="s">
        <v>3072</v>
      </c>
      <c r="F454" s="8" t="s">
        <v>3073</v>
      </c>
      <c r="G454" s="6" t="s">
        <v>52</v>
      </c>
      <c r="H454" s="6" t="s">
        <v>38</v>
      </c>
      <c r="I454" s="8" t="s">
        <v>459</v>
      </c>
      <c r="J454" s="9">
        <v>1</v>
      </c>
      <c r="K454" s="9">
        <v>148</v>
      </c>
      <c r="L454" s="9">
        <v>2023</v>
      </c>
      <c r="M454" s="8" t="s">
        <v>3074</v>
      </c>
      <c r="N454" s="8" t="s">
        <v>41</v>
      </c>
      <c r="O454" s="8" t="s">
        <v>97</v>
      </c>
      <c r="P454" s="6" t="s">
        <v>65</v>
      </c>
      <c r="Q454" s="8" t="s">
        <v>66</v>
      </c>
      <c r="R454" s="10" t="s">
        <v>3075</v>
      </c>
      <c r="S454" s="11" t="s">
        <v>3076</v>
      </c>
      <c r="T454" s="6"/>
      <c r="U454" s="28" t="str">
        <f>HYPERLINK("https://media.infra-m.ru/2036/2036509/cover/2036509.jpg", "Обложка")</f>
        <v>Обложка</v>
      </c>
      <c r="V454" s="12"/>
      <c r="W454" s="8" t="s">
        <v>463</v>
      </c>
      <c r="X454" s="6"/>
      <c r="Y454" s="6"/>
      <c r="Z454" s="6"/>
      <c r="AA454" s="6" t="s">
        <v>574</v>
      </c>
    </row>
    <row r="455" spans="1:27" s="4" customFormat="1" ht="42" customHeight="1">
      <c r="A455" s="5">
        <v>0</v>
      </c>
      <c r="B455" s="6" t="s">
        <v>3077</v>
      </c>
      <c r="C455" s="7">
        <v>1200</v>
      </c>
      <c r="D455" s="8" t="s">
        <v>3078</v>
      </c>
      <c r="E455" s="8" t="s">
        <v>3079</v>
      </c>
      <c r="F455" s="8" t="s">
        <v>3080</v>
      </c>
      <c r="G455" s="6" t="s">
        <v>121</v>
      </c>
      <c r="H455" s="6" t="s">
        <v>38</v>
      </c>
      <c r="I455" s="8" t="s">
        <v>39</v>
      </c>
      <c r="J455" s="9">
        <v>1</v>
      </c>
      <c r="K455" s="9">
        <v>263</v>
      </c>
      <c r="L455" s="9">
        <v>2023</v>
      </c>
      <c r="M455" s="8" t="s">
        <v>3081</v>
      </c>
      <c r="N455" s="8" t="s">
        <v>41</v>
      </c>
      <c r="O455" s="8" t="s">
        <v>54</v>
      </c>
      <c r="P455" s="6" t="s">
        <v>43</v>
      </c>
      <c r="Q455" s="8" t="s">
        <v>44</v>
      </c>
      <c r="R455" s="10" t="s">
        <v>3082</v>
      </c>
      <c r="S455" s="11"/>
      <c r="T455" s="6"/>
      <c r="U455" s="28" t="str">
        <f>HYPERLINK("https://media.infra-m.ru/1900/1900641/cover/1900641.jpg", "Обложка")</f>
        <v>Обложка</v>
      </c>
      <c r="V455" s="28" t="str">
        <f>HYPERLINK("https://znanium.com/catalog/product/1900641", "Ознакомиться")</f>
        <v>Ознакомиться</v>
      </c>
      <c r="W455" s="8" t="s">
        <v>3083</v>
      </c>
      <c r="X455" s="6" t="s">
        <v>1337</v>
      </c>
      <c r="Y455" s="6"/>
      <c r="Z455" s="6"/>
      <c r="AA455" s="6" t="s">
        <v>574</v>
      </c>
    </row>
    <row r="456" spans="1:27" s="4" customFormat="1" ht="51.95" customHeight="1">
      <c r="A456" s="5">
        <v>0</v>
      </c>
      <c r="B456" s="6" t="s">
        <v>3084</v>
      </c>
      <c r="C456" s="13">
        <v>540</v>
      </c>
      <c r="D456" s="8" t="s">
        <v>3085</v>
      </c>
      <c r="E456" s="8" t="s">
        <v>3086</v>
      </c>
      <c r="F456" s="8" t="s">
        <v>3087</v>
      </c>
      <c r="G456" s="6" t="s">
        <v>52</v>
      </c>
      <c r="H456" s="6" t="s">
        <v>38</v>
      </c>
      <c r="I456" s="8" t="s">
        <v>130</v>
      </c>
      <c r="J456" s="9">
        <v>1</v>
      </c>
      <c r="K456" s="9">
        <v>104</v>
      </c>
      <c r="L456" s="9">
        <v>2024</v>
      </c>
      <c r="M456" s="8" t="s">
        <v>3088</v>
      </c>
      <c r="N456" s="8" t="s">
        <v>41</v>
      </c>
      <c r="O456" s="8" t="s">
        <v>181</v>
      </c>
      <c r="P456" s="6" t="s">
        <v>65</v>
      </c>
      <c r="Q456" s="8" t="s">
        <v>66</v>
      </c>
      <c r="R456" s="10" t="s">
        <v>3089</v>
      </c>
      <c r="S456" s="11" t="s">
        <v>3090</v>
      </c>
      <c r="T456" s="6"/>
      <c r="U456" s="28" t="str">
        <f>HYPERLINK("https://media.infra-m.ru/2083/2083223/cover/2083223.jpg", "Обложка")</f>
        <v>Обложка</v>
      </c>
      <c r="V456" s="28" t="str">
        <f>HYPERLINK("https://znanium.com/catalog/product/2083223", "Ознакомиться")</f>
        <v>Ознакомиться</v>
      </c>
      <c r="W456" s="8" t="s">
        <v>582</v>
      </c>
      <c r="X456" s="6"/>
      <c r="Y456" s="6"/>
      <c r="Z456" s="6"/>
      <c r="AA456" s="6" t="s">
        <v>47</v>
      </c>
    </row>
    <row r="457" spans="1:27" s="4" customFormat="1" ht="51.95" customHeight="1">
      <c r="A457" s="5">
        <v>0</v>
      </c>
      <c r="B457" s="6" t="s">
        <v>3091</v>
      </c>
      <c r="C457" s="13">
        <v>990</v>
      </c>
      <c r="D457" s="8" t="s">
        <v>3092</v>
      </c>
      <c r="E457" s="8" t="s">
        <v>3093</v>
      </c>
      <c r="F457" s="8" t="s">
        <v>3094</v>
      </c>
      <c r="G457" s="6" t="s">
        <v>52</v>
      </c>
      <c r="H457" s="6" t="s">
        <v>38</v>
      </c>
      <c r="I457" s="8" t="s">
        <v>39</v>
      </c>
      <c r="J457" s="9">
        <v>1</v>
      </c>
      <c r="K457" s="9">
        <v>202</v>
      </c>
      <c r="L457" s="9">
        <v>2022</v>
      </c>
      <c r="M457" s="8" t="s">
        <v>3095</v>
      </c>
      <c r="N457" s="8" t="s">
        <v>41</v>
      </c>
      <c r="O457" s="8" t="s">
        <v>54</v>
      </c>
      <c r="P457" s="6" t="s">
        <v>43</v>
      </c>
      <c r="Q457" s="8" t="s">
        <v>44</v>
      </c>
      <c r="R457" s="10" t="s">
        <v>3096</v>
      </c>
      <c r="S457" s="11"/>
      <c r="T457" s="6"/>
      <c r="U457" s="28" t="str">
        <f>HYPERLINK("https://media.infra-m.ru/1865/1865188/cover/1865188.jpg", "Обложка")</f>
        <v>Обложка</v>
      </c>
      <c r="V457" s="28" t="str">
        <f>HYPERLINK("https://znanium.com/catalog/product/1865188", "Ознакомиться")</f>
        <v>Ознакомиться</v>
      </c>
      <c r="W457" s="8" t="s">
        <v>590</v>
      </c>
      <c r="X457" s="6"/>
      <c r="Y457" s="6"/>
      <c r="Z457" s="6"/>
      <c r="AA457" s="6" t="s">
        <v>78</v>
      </c>
    </row>
    <row r="458" spans="1:27" s="4" customFormat="1" ht="51.95" customHeight="1">
      <c r="A458" s="5">
        <v>0</v>
      </c>
      <c r="B458" s="6" t="s">
        <v>3097</v>
      </c>
      <c r="C458" s="13">
        <v>480</v>
      </c>
      <c r="D458" s="8" t="s">
        <v>3098</v>
      </c>
      <c r="E458" s="8" t="s">
        <v>3099</v>
      </c>
      <c r="F458" s="8" t="s">
        <v>3100</v>
      </c>
      <c r="G458" s="6" t="s">
        <v>52</v>
      </c>
      <c r="H458" s="6" t="s">
        <v>38</v>
      </c>
      <c r="I458" s="8" t="s">
        <v>130</v>
      </c>
      <c r="J458" s="9">
        <v>1</v>
      </c>
      <c r="K458" s="9">
        <v>104</v>
      </c>
      <c r="L458" s="9">
        <v>2024</v>
      </c>
      <c r="M458" s="8" t="s">
        <v>3101</v>
      </c>
      <c r="N458" s="8" t="s">
        <v>41</v>
      </c>
      <c r="O458" s="8" t="s">
        <v>64</v>
      </c>
      <c r="P458" s="6" t="s">
        <v>65</v>
      </c>
      <c r="Q458" s="8" t="s">
        <v>66</v>
      </c>
      <c r="R458" s="10" t="s">
        <v>3102</v>
      </c>
      <c r="S458" s="11" t="s">
        <v>3103</v>
      </c>
      <c r="T458" s="6"/>
      <c r="U458" s="28" t="str">
        <f>HYPERLINK("https://media.infra-m.ru/2099/2099069/cover/2099069.jpg", "Обложка")</f>
        <v>Обложка</v>
      </c>
      <c r="V458" s="28" t="str">
        <f>HYPERLINK("https://znanium.com/catalog/product/2099069", "Ознакомиться")</f>
        <v>Ознакомиться</v>
      </c>
      <c r="W458" s="8" t="s">
        <v>1267</v>
      </c>
      <c r="X458" s="6"/>
      <c r="Y458" s="6"/>
      <c r="Z458" s="6"/>
      <c r="AA458" s="6" t="s">
        <v>70</v>
      </c>
    </row>
    <row r="459" spans="1:27" s="4" customFormat="1" ht="42" customHeight="1">
      <c r="A459" s="5">
        <v>0</v>
      </c>
      <c r="B459" s="6" t="s">
        <v>3104</v>
      </c>
      <c r="C459" s="7">
        <v>1134.9000000000001</v>
      </c>
      <c r="D459" s="8" t="s">
        <v>3105</v>
      </c>
      <c r="E459" s="8" t="s">
        <v>3106</v>
      </c>
      <c r="F459" s="8" t="s">
        <v>3107</v>
      </c>
      <c r="G459" s="6" t="s">
        <v>52</v>
      </c>
      <c r="H459" s="6" t="s">
        <v>122</v>
      </c>
      <c r="I459" s="8" t="s">
        <v>39</v>
      </c>
      <c r="J459" s="9">
        <v>1</v>
      </c>
      <c r="K459" s="9">
        <v>299</v>
      </c>
      <c r="L459" s="9">
        <v>2022</v>
      </c>
      <c r="M459" s="8" t="s">
        <v>3108</v>
      </c>
      <c r="N459" s="8" t="s">
        <v>41</v>
      </c>
      <c r="O459" s="8" t="s">
        <v>54</v>
      </c>
      <c r="P459" s="6" t="s">
        <v>43</v>
      </c>
      <c r="Q459" s="8" t="s">
        <v>44</v>
      </c>
      <c r="R459" s="10" t="s">
        <v>1123</v>
      </c>
      <c r="S459" s="11"/>
      <c r="T459" s="6"/>
      <c r="U459" s="28" t="str">
        <f>HYPERLINK("https://media.infra-m.ru/1844/1844304/cover/1844304.jpg", "Обложка")</f>
        <v>Обложка</v>
      </c>
      <c r="V459" s="28" t="str">
        <f>HYPERLINK("https://znanium.com/catalog/product/1844304", "Ознакомиться")</f>
        <v>Ознакомиться</v>
      </c>
      <c r="W459" s="8"/>
      <c r="X459" s="6"/>
      <c r="Y459" s="6"/>
      <c r="Z459" s="6"/>
      <c r="AA459" s="6" t="s">
        <v>161</v>
      </c>
    </row>
    <row r="460" spans="1:27" s="4" customFormat="1" ht="42" customHeight="1">
      <c r="A460" s="5">
        <v>0</v>
      </c>
      <c r="B460" s="6" t="s">
        <v>3109</v>
      </c>
      <c r="C460" s="7">
        <v>1890</v>
      </c>
      <c r="D460" s="8" t="s">
        <v>3110</v>
      </c>
      <c r="E460" s="8" t="s">
        <v>3111</v>
      </c>
      <c r="F460" s="8" t="s">
        <v>3112</v>
      </c>
      <c r="G460" s="6" t="s">
        <v>52</v>
      </c>
      <c r="H460" s="6" t="s">
        <v>38</v>
      </c>
      <c r="I460" s="8" t="s">
        <v>39</v>
      </c>
      <c r="J460" s="9">
        <v>1</v>
      </c>
      <c r="K460" s="9">
        <v>421</v>
      </c>
      <c r="L460" s="9">
        <v>2023</v>
      </c>
      <c r="M460" s="8" t="s">
        <v>3113</v>
      </c>
      <c r="N460" s="8" t="s">
        <v>41</v>
      </c>
      <c r="O460" s="8" t="s">
        <v>64</v>
      </c>
      <c r="P460" s="6" t="s">
        <v>43</v>
      </c>
      <c r="Q460" s="8" t="s">
        <v>44</v>
      </c>
      <c r="R460" s="10" t="s">
        <v>3114</v>
      </c>
      <c r="S460" s="11"/>
      <c r="T460" s="6"/>
      <c r="U460" s="28" t="str">
        <f>HYPERLINK("https://media.infra-m.ru/2023/2023195/cover/2023195.jpg", "Обложка")</f>
        <v>Обложка</v>
      </c>
      <c r="V460" s="28" t="str">
        <f>HYPERLINK("https://znanium.com/catalog/product/2023195", "Ознакомиться")</f>
        <v>Ознакомиться</v>
      </c>
      <c r="W460" s="8" t="s">
        <v>313</v>
      </c>
      <c r="X460" s="6"/>
      <c r="Y460" s="6"/>
      <c r="Z460" s="6"/>
      <c r="AA460" s="6" t="s">
        <v>78</v>
      </c>
    </row>
    <row r="461" spans="1:27" s="4" customFormat="1" ht="51.95" customHeight="1">
      <c r="A461" s="5">
        <v>0</v>
      </c>
      <c r="B461" s="6" t="s">
        <v>3115</v>
      </c>
      <c r="C461" s="13">
        <v>934.9</v>
      </c>
      <c r="D461" s="8" t="s">
        <v>3116</v>
      </c>
      <c r="E461" s="8" t="s">
        <v>3117</v>
      </c>
      <c r="F461" s="8" t="s">
        <v>3118</v>
      </c>
      <c r="G461" s="6" t="s">
        <v>37</v>
      </c>
      <c r="H461" s="6" t="s">
        <v>38</v>
      </c>
      <c r="I461" s="8" t="s">
        <v>39</v>
      </c>
      <c r="J461" s="9">
        <v>1</v>
      </c>
      <c r="K461" s="9">
        <v>207</v>
      </c>
      <c r="L461" s="9">
        <v>2023</v>
      </c>
      <c r="M461" s="8" t="s">
        <v>3119</v>
      </c>
      <c r="N461" s="8" t="s">
        <v>41</v>
      </c>
      <c r="O461" s="8" t="s">
        <v>64</v>
      </c>
      <c r="P461" s="6" t="s">
        <v>43</v>
      </c>
      <c r="Q461" s="8" t="s">
        <v>961</v>
      </c>
      <c r="R461" s="10" t="s">
        <v>3120</v>
      </c>
      <c r="S461" s="11"/>
      <c r="T461" s="6"/>
      <c r="U461" s="28" t="str">
        <f>HYPERLINK("https://media.infra-m.ru/1913/1913688/cover/1913688.jpg", "Обложка")</f>
        <v>Обложка</v>
      </c>
      <c r="V461" s="28" t="str">
        <f>HYPERLINK("https://znanium.com/catalog/product/1032987", "Ознакомиться")</f>
        <v>Ознакомиться</v>
      </c>
      <c r="W461" s="8" t="s">
        <v>730</v>
      </c>
      <c r="X461" s="6"/>
      <c r="Y461" s="6"/>
      <c r="Z461" s="6"/>
      <c r="AA461" s="6" t="s">
        <v>3121</v>
      </c>
    </row>
    <row r="462" spans="1:27" s="4" customFormat="1" ht="51.95" customHeight="1">
      <c r="A462" s="5">
        <v>0</v>
      </c>
      <c r="B462" s="6" t="s">
        <v>3122</v>
      </c>
      <c r="C462" s="13">
        <v>734.9</v>
      </c>
      <c r="D462" s="8" t="s">
        <v>3123</v>
      </c>
      <c r="E462" s="8" t="s">
        <v>3124</v>
      </c>
      <c r="F462" s="8" t="s">
        <v>3125</v>
      </c>
      <c r="G462" s="6" t="s">
        <v>121</v>
      </c>
      <c r="H462" s="6" t="s">
        <v>38</v>
      </c>
      <c r="I462" s="8" t="s">
        <v>62</v>
      </c>
      <c r="J462" s="9">
        <v>1</v>
      </c>
      <c r="K462" s="9">
        <v>259</v>
      </c>
      <c r="L462" s="9">
        <v>2018</v>
      </c>
      <c r="M462" s="8" t="s">
        <v>3126</v>
      </c>
      <c r="N462" s="8" t="s">
        <v>41</v>
      </c>
      <c r="O462" s="8" t="s">
        <v>64</v>
      </c>
      <c r="P462" s="6" t="s">
        <v>65</v>
      </c>
      <c r="Q462" s="8" t="s">
        <v>66</v>
      </c>
      <c r="R462" s="10" t="s">
        <v>3127</v>
      </c>
      <c r="S462" s="11"/>
      <c r="T462" s="6"/>
      <c r="U462" s="28" t="str">
        <f>HYPERLINK("https://media.infra-m.ru/0960/0960050/cover/960050.jpg", "Обложка")</f>
        <v>Обложка</v>
      </c>
      <c r="V462" s="28" t="str">
        <f>HYPERLINK("https://znanium.com/catalog/product/960050", "Ознакомиться")</f>
        <v>Ознакомиться</v>
      </c>
      <c r="W462" s="8" t="s">
        <v>666</v>
      </c>
      <c r="X462" s="6"/>
      <c r="Y462" s="6"/>
      <c r="Z462" s="6"/>
      <c r="AA462" s="6" t="s">
        <v>100</v>
      </c>
    </row>
    <row r="463" spans="1:27" s="4" customFormat="1" ht="42" customHeight="1">
      <c r="A463" s="5">
        <v>0</v>
      </c>
      <c r="B463" s="6" t="s">
        <v>3128</v>
      </c>
      <c r="C463" s="13">
        <v>700</v>
      </c>
      <c r="D463" s="8" t="s">
        <v>3129</v>
      </c>
      <c r="E463" s="8" t="s">
        <v>3130</v>
      </c>
      <c r="F463" s="8" t="s">
        <v>3131</v>
      </c>
      <c r="G463" s="6" t="s">
        <v>52</v>
      </c>
      <c r="H463" s="6" t="s">
        <v>38</v>
      </c>
      <c r="I463" s="8" t="s">
        <v>39</v>
      </c>
      <c r="J463" s="9">
        <v>1</v>
      </c>
      <c r="K463" s="9">
        <v>151</v>
      </c>
      <c r="L463" s="9">
        <v>2024</v>
      </c>
      <c r="M463" s="8" t="s">
        <v>3132</v>
      </c>
      <c r="N463" s="8" t="s">
        <v>41</v>
      </c>
      <c r="O463" s="8" t="s">
        <v>64</v>
      </c>
      <c r="P463" s="6" t="s">
        <v>43</v>
      </c>
      <c r="Q463" s="8" t="s">
        <v>44</v>
      </c>
      <c r="R463" s="10" t="s">
        <v>848</v>
      </c>
      <c r="S463" s="11"/>
      <c r="T463" s="6"/>
      <c r="U463" s="28" t="str">
        <f>HYPERLINK("https://media.infra-m.ru/2104/2104850/cover/2104850.jpg", "Обложка")</f>
        <v>Обложка</v>
      </c>
      <c r="V463" s="28" t="str">
        <f>HYPERLINK("https://znanium.com/catalog/product/2104850", "Ознакомиться")</f>
        <v>Ознакомиться</v>
      </c>
      <c r="W463" s="8" t="s">
        <v>3133</v>
      </c>
      <c r="X463" s="6"/>
      <c r="Y463" s="6"/>
      <c r="Z463" s="6"/>
      <c r="AA463" s="6" t="s">
        <v>91</v>
      </c>
    </row>
    <row r="464" spans="1:27" s="4" customFormat="1" ht="51.95" customHeight="1">
      <c r="A464" s="5">
        <v>0</v>
      </c>
      <c r="B464" s="6" t="s">
        <v>3134</v>
      </c>
      <c r="C464" s="7">
        <v>2880</v>
      </c>
      <c r="D464" s="8" t="s">
        <v>3135</v>
      </c>
      <c r="E464" s="8" t="s">
        <v>3136</v>
      </c>
      <c r="F464" s="8" t="s">
        <v>3137</v>
      </c>
      <c r="G464" s="6" t="s">
        <v>121</v>
      </c>
      <c r="H464" s="6" t="s">
        <v>38</v>
      </c>
      <c r="I464" s="8" t="s">
        <v>130</v>
      </c>
      <c r="J464" s="9">
        <v>1</v>
      </c>
      <c r="K464" s="9">
        <v>286</v>
      </c>
      <c r="L464" s="9">
        <v>2021</v>
      </c>
      <c r="M464" s="8" t="s">
        <v>3138</v>
      </c>
      <c r="N464" s="8" t="s">
        <v>41</v>
      </c>
      <c r="O464" s="8" t="s">
        <v>64</v>
      </c>
      <c r="P464" s="6" t="s">
        <v>85</v>
      </c>
      <c r="Q464" s="8" t="s">
        <v>797</v>
      </c>
      <c r="R464" s="10" t="s">
        <v>3139</v>
      </c>
      <c r="S464" s="11" t="s">
        <v>3140</v>
      </c>
      <c r="T464" s="6"/>
      <c r="U464" s="28" t="str">
        <f>HYPERLINK("https://media.infra-m.ru/1141/1141214/cover/1141214.jpg", "Обложка")</f>
        <v>Обложка</v>
      </c>
      <c r="V464" s="28" t="str">
        <f>HYPERLINK("https://znanium.com/catalog/product/1141214", "Ознакомиться")</f>
        <v>Ознакомиться</v>
      </c>
      <c r="W464" s="8" t="s">
        <v>806</v>
      </c>
      <c r="X464" s="6"/>
      <c r="Y464" s="6"/>
      <c r="Z464" s="6"/>
      <c r="AA464" s="6" t="s">
        <v>135</v>
      </c>
    </row>
    <row r="465" spans="1:27" s="4" customFormat="1" ht="51.95" customHeight="1">
      <c r="A465" s="5">
        <v>0</v>
      </c>
      <c r="B465" s="6" t="s">
        <v>3141</v>
      </c>
      <c r="C465" s="13">
        <v>904.9</v>
      </c>
      <c r="D465" s="8" t="s">
        <v>3142</v>
      </c>
      <c r="E465" s="8" t="s">
        <v>3143</v>
      </c>
      <c r="F465" s="8" t="s">
        <v>3144</v>
      </c>
      <c r="G465" s="6" t="s">
        <v>37</v>
      </c>
      <c r="H465" s="6" t="s">
        <v>38</v>
      </c>
      <c r="I465" s="8" t="s">
        <v>83</v>
      </c>
      <c r="J465" s="9">
        <v>1</v>
      </c>
      <c r="K465" s="9">
        <v>200</v>
      </c>
      <c r="L465" s="9">
        <v>2023</v>
      </c>
      <c r="M465" s="8" t="s">
        <v>3145</v>
      </c>
      <c r="N465" s="8" t="s">
        <v>41</v>
      </c>
      <c r="O465" s="8" t="s">
        <v>64</v>
      </c>
      <c r="P465" s="6" t="s">
        <v>65</v>
      </c>
      <c r="Q465" s="8" t="s">
        <v>86</v>
      </c>
      <c r="R465" s="10" t="s">
        <v>3139</v>
      </c>
      <c r="S465" s="11" t="s">
        <v>3146</v>
      </c>
      <c r="T465" s="6"/>
      <c r="U465" s="28" t="str">
        <f>HYPERLINK("https://media.infra-m.ru/1911/1911826/cover/1911826.jpg", "Обложка")</f>
        <v>Обложка</v>
      </c>
      <c r="V465" s="28" t="str">
        <f>HYPERLINK("https://znanium.com/catalog/product/1059223", "Ознакомиться")</f>
        <v>Ознакомиться</v>
      </c>
      <c r="W465" s="8" t="s">
        <v>806</v>
      </c>
      <c r="X465" s="6"/>
      <c r="Y465" s="6"/>
      <c r="Z465" s="6"/>
      <c r="AA465" s="6" t="s">
        <v>57</v>
      </c>
    </row>
    <row r="466" spans="1:27" s="4" customFormat="1" ht="51.95" customHeight="1">
      <c r="A466" s="5">
        <v>0</v>
      </c>
      <c r="B466" s="6" t="s">
        <v>3147</v>
      </c>
      <c r="C466" s="13">
        <v>344.9</v>
      </c>
      <c r="D466" s="8" t="s">
        <v>3148</v>
      </c>
      <c r="E466" s="8" t="s">
        <v>3149</v>
      </c>
      <c r="F466" s="8" t="s">
        <v>3150</v>
      </c>
      <c r="G466" s="6" t="s">
        <v>52</v>
      </c>
      <c r="H466" s="6" t="s">
        <v>207</v>
      </c>
      <c r="I466" s="8" t="s">
        <v>298</v>
      </c>
      <c r="J466" s="9">
        <v>30</v>
      </c>
      <c r="K466" s="9">
        <v>128</v>
      </c>
      <c r="L466" s="9">
        <v>2017</v>
      </c>
      <c r="M466" s="8" t="s">
        <v>3151</v>
      </c>
      <c r="N466" s="8" t="s">
        <v>41</v>
      </c>
      <c r="O466" s="8" t="s">
        <v>42</v>
      </c>
      <c r="P466" s="6" t="s">
        <v>65</v>
      </c>
      <c r="Q466" s="8" t="s">
        <v>66</v>
      </c>
      <c r="R466" s="10" t="s">
        <v>3152</v>
      </c>
      <c r="S466" s="11" t="s">
        <v>3153</v>
      </c>
      <c r="T466" s="6"/>
      <c r="U466" s="12"/>
      <c r="V466" s="12"/>
      <c r="W466" s="8" t="s">
        <v>3154</v>
      </c>
      <c r="X466" s="6"/>
      <c r="Y466" s="6"/>
      <c r="Z466" s="6"/>
      <c r="AA466" s="6" t="s">
        <v>269</v>
      </c>
    </row>
    <row r="467" spans="1:27" s="4" customFormat="1" ht="51.95" customHeight="1">
      <c r="A467" s="5">
        <v>0</v>
      </c>
      <c r="B467" s="6" t="s">
        <v>3155</v>
      </c>
      <c r="C467" s="7">
        <v>1100</v>
      </c>
      <c r="D467" s="8" t="s">
        <v>3156</v>
      </c>
      <c r="E467" s="8" t="s">
        <v>3157</v>
      </c>
      <c r="F467" s="8" t="s">
        <v>3158</v>
      </c>
      <c r="G467" s="6" t="s">
        <v>121</v>
      </c>
      <c r="H467" s="6" t="s">
        <v>38</v>
      </c>
      <c r="I467" s="8" t="s">
        <v>62</v>
      </c>
      <c r="J467" s="9">
        <v>1</v>
      </c>
      <c r="K467" s="9">
        <v>382</v>
      </c>
      <c r="L467" s="9">
        <v>2017</v>
      </c>
      <c r="M467" s="8" t="s">
        <v>3159</v>
      </c>
      <c r="N467" s="8" t="s">
        <v>41</v>
      </c>
      <c r="O467" s="8" t="s">
        <v>64</v>
      </c>
      <c r="P467" s="6" t="s">
        <v>65</v>
      </c>
      <c r="Q467" s="8" t="s">
        <v>66</v>
      </c>
      <c r="R467" s="10" t="s">
        <v>3160</v>
      </c>
      <c r="S467" s="11" t="s">
        <v>3161</v>
      </c>
      <c r="T467" s="6"/>
      <c r="U467" s="28" t="str">
        <f>HYPERLINK("https://media.infra-m.ru/0892/0892452/cover/892452.jpg", "Обложка")</f>
        <v>Обложка</v>
      </c>
      <c r="V467" s="28" t="str">
        <f>HYPERLINK("https://znanium.com/catalog/product/1906710", "Ознакомиться")</f>
        <v>Ознакомиться</v>
      </c>
      <c r="W467" s="8" t="s">
        <v>3162</v>
      </c>
      <c r="X467" s="6"/>
      <c r="Y467" s="6" t="s">
        <v>30</v>
      </c>
      <c r="Z467" s="6"/>
      <c r="AA467" s="6" t="s">
        <v>161</v>
      </c>
    </row>
    <row r="468" spans="1:27" s="4" customFormat="1" ht="51.95" customHeight="1">
      <c r="A468" s="5">
        <v>0</v>
      </c>
      <c r="B468" s="6" t="s">
        <v>3163</v>
      </c>
      <c r="C468" s="13">
        <v>500</v>
      </c>
      <c r="D468" s="8" t="s">
        <v>3164</v>
      </c>
      <c r="E468" s="8" t="s">
        <v>3165</v>
      </c>
      <c r="F468" s="8" t="s">
        <v>3166</v>
      </c>
      <c r="G468" s="6" t="s">
        <v>52</v>
      </c>
      <c r="H468" s="6" t="s">
        <v>207</v>
      </c>
      <c r="I468" s="8" t="s">
        <v>187</v>
      </c>
      <c r="J468" s="9">
        <v>1</v>
      </c>
      <c r="K468" s="9">
        <v>128</v>
      </c>
      <c r="L468" s="9">
        <v>2021</v>
      </c>
      <c r="M468" s="8" t="s">
        <v>3167</v>
      </c>
      <c r="N468" s="8" t="s">
        <v>41</v>
      </c>
      <c r="O468" s="8" t="s">
        <v>64</v>
      </c>
      <c r="P468" s="6" t="s">
        <v>65</v>
      </c>
      <c r="Q468" s="8" t="s">
        <v>189</v>
      </c>
      <c r="R468" s="10" t="s">
        <v>3168</v>
      </c>
      <c r="S468" s="11" t="s">
        <v>3169</v>
      </c>
      <c r="T468" s="6"/>
      <c r="U468" s="28" t="str">
        <f>HYPERLINK("https://media.infra-m.ru/1227/1227707/cover/1227707.jpg", "Обложка")</f>
        <v>Обложка</v>
      </c>
      <c r="V468" s="28" t="str">
        <f>HYPERLINK("https://znanium.com/catalog/product/1227707", "Ознакомиться")</f>
        <v>Ознакомиться</v>
      </c>
      <c r="W468" s="8" t="s">
        <v>2418</v>
      </c>
      <c r="X468" s="6"/>
      <c r="Y468" s="6"/>
      <c r="Z468" s="6" t="s">
        <v>192</v>
      </c>
      <c r="AA468" s="6" t="s">
        <v>108</v>
      </c>
    </row>
    <row r="469" spans="1:27" s="4" customFormat="1" ht="51.95" customHeight="1">
      <c r="A469" s="5">
        <v>0</v>
      </c>
      <c r="B469" s="6" t="s">
        <v>3170</v>
      </c>
      <c r="C469" s="13">
        <v>580</v>
      </c>
      <c r="D469" s="8" t="s">
        <v>3171</v>
      </c>
      <c r="E469" s="8" t="s">
        <v>3165</v>
      </c>
      <c r="F469" s="8" t="s">
        <v>3166</v>
      </c>
      <c r="G469" s="6" t="s">
        <v>52</v>
      </c>
      <c r="H469" s="6" t="s">
        <v>207</v>
      </c>
      <c r="I469" s="8" t="s">
        <v>62</v>
      </c>
      <c r="J469" s="9">
        <v>1</v>
      </c>
      <c r="K469" s="9">
        <v>128</v>
      </c>
      <c r="L469" s="9">
        <v>2023</v>
      </c>
      <c r="M469" s="8" t="s">
        <v>3172</v>
      </c>
      <c r="N469" s="8" t="s">
        <v>41</v>
      </c>
      <c r="O469" s="8" t="s">
        <v>64</v>
      </c>
      <c r="P469" s="6" t="s">
        <v>65</v>
      </c>
      <c r="Q469" s="8" t="s">
        <v>66</v>
      </c>
      <c r="R469" s="10" t="s">
        <v>3173</v>
      </c>
      <c r="S469" s="11" t="s">
        <v>3174</v>
      </c>
      <c r="T469" s="6"/>
      <c r="U469" s="28" t="str">
        <f>HYPERLINK("https://media.infra-m.ru/1895/1895431/cover/1895431.jpg", "Обложка")</f>
        <v>Обложка</v>
      </c>
      <c r="V469" s="28" t="str">
        <f>HYPERLINK("https://znanium.com/catalog/product/1895431", "Ознакомиться")</f>
        <v>Ознакомиться</v>
      </c>
      <c r="W469" s="8" t="s">
        <v>2418</v>
      </c>
      <c r="X469" s="6"/>
      <c r="Y469" s="6"/>
      <c r="Z469" s="6"/>
      <c r="AA469" s="6" t="s">
        <v>100</v>
      </c>
    </row>
    <row r="470" spans="1:27" s="4" customFormat="1" ht="51.95" customHeight="1">
      <c r="A470" s="5">
        <v>0</v>
      </c>
      <c r="B470" s="6" t="s">
        <v>3175</v>
      </c>
      <c r="C470" s="13">
        <v>990</v>
      </c>
      <c r="D470" s="8" t="s">
        <v>3176</v>
      </c>
      <c r="E470" s="8" t="s">
        <v>3177</v>
      </c>
      <c r="F470" s="8" t="s">
        <v>3178</v>
      </c>
      <c r="G470" s="6" t="s">
        <v>37</v>
      </c>
      <c r="H470" s="6" t="s">
        <v>207</v>
      </c>
      <c r="I470" s="8" t="s">
        <v>130</v>
      </c>
      <c r="J470" s="9">
        <v>1</v>
      </c>
      <c r="K470" s="9">
        <v>208</v>
      </c>
      <c r="L470" s="9">
        <v>2023</v>
      </c>
      <c r="M470" s="8" t="s">
        <v>3179</v>
      </c>
      <c r="N470" s="8" t="s">
        <v>41</v>
      </c>
      <c r="O470" s="8" t="s">
        <v>64</v>
      </c>
      <c r="P470" s="6" t="s">
        <v>85</v>
      </c>
      <c r="Q470" s="8" t="s">
        <v>66</v>
      </c>
      <c r="R470" s="10" t="s">
        <v>3180</v>
      </c>
      <c r="S470" s="11" t="s">
        <v>3181</v>
      </c>
      <c r="T470" s="6"/>
      <c r="U470" s="28" t="str">
        <f>HYPERLINK("https://media.infra-m.ru/2033/2033519/cover/2033519.jpg", "Обложка")</f>
        <v>Обложка</v>
      </c>
      <c r="V470" s="28" t="str">
        <f>HYPERLINK("https://znanium.com/catalog/product/2033519", "Ознакомиться")</f>
        <v>Ознакомиться</v>
      </c>
      <c r="W470" s="8" t="s">
        <v>1245</v>
      </c>
      <c r="X470" s="6"/>
      <c r="Y470" s="6"/>
      <c r="Z470" s="6"/>
      <c r="AA470" s="6" t="s">
        <v>269</v>
      </c>
    </row>
    <row r="471" spans="1:27" s="4" customFormat="1" ht="51.95" customHeight="1">
      <c r="A471" s="5">
        <v>0</v>
      </c>
      <c r="B471" s="6" t="s">
        <v>3182</v>
      </c>
      <c r="C471" s="13">
        <v>840</v>
      </c>
      <c r="D471" s="8" t="s">
        <v>3183</v>
      </c>
      <c r="E471" s="8" t="s">
        <v>3177</v>
      </c>
      <c r="F471" s="8" t="s">
        <v>3184</v>
      </c>
      <c r="G471" s="6" t="s">
        <v>37</v>
      </c>
      <c r="H471" s="6" t="s">
        <v>207</v>
      </c>
      <c r="I471" s="8" t="s">
        <v>187</v>
      </c>
      <c r="J471" s="9">
        <v>1</v>
      </c>
      <c r="K471" s="9">
        <v>208</v>
      </c>
      <c r="L471" s="9">
        <v>2022</v>
      </c>
      <c r="M471" s="8" t="s">
        <v>3185</v>
      </c>
      <c r="N471" s="8" t="s">
        <v>41</v>
      </c>
      <c r="O471" s="8" t="s">
        <v>64</v>
      </c>
      <c r="P471" s="6" t="s">
        <v>85</v>
      </c>
      <c r="Q471" s="8" t="s">
        <v>189</v>
      </c>
      <c r="R471" s="10" t="s">
        <v>3186</v>
      </c>
      <c r="S471" s="11" t="s">
        <v>3187</v>
      </c>
      <c r="T471" s="6"/>
      <c r="U471" s="28" t="str">
        <f>HYPERLINK("https://media.infra-m.ru/1854/1854406/cover/1854406.jpg", "Обложка")</f>
        <v>Обложка</v>
      </c>
      <c r="V471" s="28" t="str">
        <f>HYPERLINK("https://znanium.com/catalog/product/1854406", "Ознакомиться")</f>
        <v>Ознакомиться</v>
      </c>
      <c r="W471" s="8" t="s">
        <v>1245</v>
      </c>
      <c r="X471" s="6"/>
      <c r="Y471" s="6"/>
      <c r="Z471" s="6" t="s">
        <v>192</v>
      </c>
      <c r="AA471" s="6" t="s">
        <v>108</v>
      </c>
    </row>
    <row r="472" spans="1:27" s="4" customFormat="1" ht="51.95" customHeight="1">
      <c r="A472" s="5">
        <v>0</v>
      </c>
      <c r="B472" s="6" t="s">
        <v>3188</v>
      </c>
      <c r="C472" s="7">
        <v>1314.9</v>
      </c>
      <c r="D472" s="8" t="s">
        <v>3189</v>
      </c>
      <c r="E472" s="8" t="s">
        <v>3177</v>
      </c>
      <c r="F472" s="8" t="s">
        <v>3190</v>
      </c>
      <c r="G472" s="6" t="s">
        <v>121</v>
      </c>
      <c r="H472" s="6" t="s">
        <v>38</v>
      </c>
      <c r="I472" s="8" t="s">
        <v>62</v>
      </c>
      <c r="J472" s="9">
        <v>1</v>
      </c>
      <c r="K472" s="9">
        <v>292</v>
      </c>
      <c r="L472" s="9">
        <v>2023</v>
      </c>
      <c r="M472" s="8" t="s">
        <v>3191</v>
      </c>
      <c r="N472" s="8" t="s">
        <v>41</v>
      </c>
      <c r="O472" s="8" t="s">
        <v>64</v>
      </c>
      <c r="P472" s="6" t="s">
        <v>65</v>
      </c>
      <c r="Q472" s="8" t="s">
        <v>66</v>
      </c>
      <c r="R472" s="10" t="s">
        <v>3192</v>
      </c>
      <c r="S472" s="11"/>
      <c r="T472" s="6"/>
      <c r="U472" s="28" t="str">
        <f>HYPERLINK("https://media.infra-m.ru/1981/1981687/cover/1981687.jpg", "Обложка")</f>
        <v>Обложка</v>
      </c>
      <c r="V472" s="28" t="str">
        <f>HYPERLINK("https://znanium.com/catalog/product/1029343", "Ознакомиться")</f>
        <v>Ознакомиться</v>
      </c>
      <c r="W472" s="8" t="s">
        <v>666</v>
      </c>
      <c r="X472" s="6"/>
      <c r="Y472" s="6"/>
      <c r="Z472" s="6"/>
      <c r="AA472" s="6" t="s">
        <v>161</v>
      </c>
    </row>
    <row r="473" spans="1:27" s="4" customFormat="1" ht="51.95" customHeight="1">
      <c r="A473" s="5">
        <v>0</v>
      </c>
      <c r="B473" s="6" t="s">
        <v>3193</v>
      </c>
      <c r="C473" s="13">
        <v>890</v>
      </c>
      <c r="D473" s="8" t="s">
        <v>3194</v>
      </c>
      <c r="E473" s="8" t="s">
        <v>3195</v>
      </c>
      <c r="F473" s="8" t="s">
        <v>3196</v>
      </c>
      <c r="G473" s="6" t="s">
        <v>37</v>
      </c>
      <c r="H473" s="6" t="s">
        <v>38</v>
      </c>
      <c r="I473" s="8" t="s">
        <v>62</v>
      </c>
      <c r="J473" s="9">
        <v>1</v>
      </c>
      <c r="K473" s="9">
        <v>193</v>
      </c>
      <c r="L473" s="9">
        <v>2023</v>
      </c>
      <c r="M473" s="8" t="s">
        <v>3197</v>
      </c>
      <c r="N473" s="8" t="s">
        <v>41</v>
      </c>
      <c r="O473" s="8" t="s">
        <v>64</v>
      </c>
      <c r="P473" s="6" t="s">
        <v>65</v>
      </c>
      <c r="Q473" s="8" t="s">
        <v>66</v>
      </c>
      <c r="R473" s="10" t="s">
        <v>848</v>
      </c>
      <c r="S473" s="11" t="s">
        <v>3198</v>
      </c>
      <c r="T473" s="6"/>
      <c r="U473" s="28" t="str">
        <f>HYPERLINK("https://media.infra-m.ru/1971/1971860/cover/1971860.jpg", "Обложка")</f>
        <v>Обложка</v>
      </c>
      <c r="V473" s="28" t="str">
        <f>HYPERLINK("https://znanium.com/catalog/product/1971860", "Ознакомиться")</f>
        <v>Ознакомиться</v>
      </c>
      <c r="W473" s="8" t="s">
        <v>620</v>
      </c>
      <c r="X473" s="6"/>
      <c r="Y473" s="6"/>
      <c r="Z473" s="6"/>
      <c r="AA473" s="6" t="s">
        <v>225</v>
      </c>
    </row>
    <row r="474" spans="1:27" s="4" customFormat="1" ht="51.95" customHeight="1">
      <c r="A474" s="5">
        <v>0</v>
      </c>
      <c r="B474" s="6" t="s">
        <v>3199</v>
      </c>
      <c r="C474" s="7">
        <v>1224.9000000000001</v>
      </c>
      <c r="D474" s="8" t="s">
        <v>3200</v>
      </c>
      <c r="E474" s="8" t="s">
        <v>3195</v>
      </c>
      <c r="F474" s="8" t="s">
        <v>3201</v>
      </c>
      <c r="G474" s="6" t="s">
        <v>121</v>
      </c>
      <c r="H474" s="6" t="s">
        <v>38</v>
      </c>
      <c r="I474" s="8" t="s">
        <v>62</v>
      </c>
      <c r="J474" s="9">
        <v>1</v>
      </c>
      <c r="K474" s="9">
        <v>322</v>
      </c>
      <c r="L474" s="9">
        <v>2022</v>
      </c>
      <c r="M474" s="8" t="s">
        <v>3202</v>
      </c>
      <c r="N474" s="8" t="s">
        <v>41</v>
      </c>
      <c r="O474" s="8" t="s">
        <v>64</v>
      </c>
      <c r="P474" s="6" t="s">
        <v>65</v>
      </c>
      <c r="Q474" s="8" t="s">
        <v>66</v>
      </c>
      <c r="R474" s="10" t="s">
        <v>3203</v>
      </c>
      <c r="S474" s="11" t="s">
        <v>3204</v>
      </c>
      <c r="T474" s="6"/>
      <c r="U474" s="28" t="str">
        <f>HYPERLINK("https://media.infra-m.ru/1853/1853539/cover/1853539.jpg", "Обложка")</f>
        <v>Обложка</v>
      </c>
      <c r="V474" s="28" t="str">
        <f>HYPERLINK("https://znanium.com/catalog/product/1945170", "Ознакомиться")</f>
        <v>Ознакомиться</v>
      </c>
      <c r="W474" s="8" t="s">
        <v>184</v>
      </c>
      <c r="X474" s="6"/>
      <c r="Y474" s="6"/>
      <c r="Z474" s="6"/>
      <c r="AA474" s="6" t="s">
        <v>225</v>
      </c>
    </row>
    <row r="475" spans="1:27" s="4" customFormat="1" ht="51.95" customHeight="1">
      <c r="A475" s="5">
        <v>0</v>
      </c>
      <c r="B475" s="6" t="s">
        <v>3205</v>
      </c>
      <c r="C475" s="7">
        <v>1220</v>
      </c>
      <c r="D475" s="8" t="s">
        <v>3206</v>
      </c>
      <c r="E475" s="8" t="s">
        <v>3195</v>
      </c>
      <c r="F475" s="8" t="s">
        <v>3201</v>
      </c>
      <c r="G475" s="6" t="s">
        <v>37</v>
      </c>
      <c r="H475" s="6" t="s">
        <v>38</v>
      </c>
      <c r="I475" s="8" t="s">
        <v>187</v>
      </c>
      <c r="J475" s="9">
        <v>1</v>
      </c>
      <c r="K475" s="9">
        <v>322</v>
      </c>
      <c r="L475" s="9">
        <v>2022</v>
      </c>
      <c r="M475" s="8" t="s">
        <v>3207</v>
      </c>
      <c r="N475" s="8" t="s">
        <v>41</v>
      </c>
      <c r="O475" s="8" t="s">
        <v>64</v>
      </c>
      <c r="P475" s="6" t="s">
        <v>65</v>
      </c>
      <c r="Q475" s="8" t="s">
        <v>189</v>
      </c>
      <c r="R475" s="10" t="s">
        <v>3208</v>
      </c>
      <c r="S475" s="11" t="s">
        <v>3209</v>
      </c>
      <c r="T475" s="6"/>
      <c r="U475" s="28" t="str">
        <f>HYPERLINK("https://media.infra-m.ru/1851/1851427/cover/1851427.jpg", "Обложка")</f>
        <v>Обложка</v>
      </c>
      <c r="V475" s="28" t="str">
        <f>HYPERLINK("https://znanium.com/catalog/product/1851427", "Ознакомиться")</f>
        <v>Ознакомиться</v>
      </c>
      <c r="W475" s="8" t="s">
        <v>184</v>
      </c>
      <c r="X475" s="6"/>
      <c r="Y475" s="6"/>
      <c r="Z475" s="6" t="s">
        <v>887</v>
      </c>
      <c r="AA475" s="6" t="s">
        <v>1268</v>
      </c>
    </row>
    <row r="476" spans="1:27" s="4" customFormat="1" ht="51.95" customHeight="1">
      <c r="A476" s="5">
        <v>0</v>
      </c>
      <c r="B476" s="6" t="s">
        <v>3210</v>
      </c>
      <c r="C476" s="7">
        <v>1314</v>
      </c>
      <c r="D476" s="8" t="s">
        <v>3211</v>
      </c>
      <c r="E476" s="8" t="s">
        <v>3177</v>
      </c>
      <c r="F476" s="8" t="s">
        <v>3212</v>
      </c>
      <c r="G476" s="6" t="s">
        <v>121</v>
      </c>
      <c r="H476" s="6" t="s">
        <v>38</v>
      </c>
      <c r="I476" s="8" t="s">
        <v>187</v>
      </c>
      <c r="J476" s="9">
        <v>1</v>
      </c>
      <c r="K476" s="9">
        <v>292</v>
      </c>
      <c r="L476" s="9">
        <v>2023</v>
      </c>
      <c r="M476" s="8" t="s">
        <v>3213</v>
      </c>
      <c r="N476" s="8" t="s">
        <v>41</v>
      </c>
      <c r="O476" s="8" t="s">
        <v>64</v>
      </c>
      <c r="P476" s="6" t="s">
        <v>65</v>
      </c>
      <c r="Q476" s="8" t="s">
        <v>189</v>
      </c>
      <c r="R476" s="10" t="s">
        <v>3214</v>
      </c>
      <c r="S476" s="11" t="s">
        <v>3215</v>
      </c>
      <c r="T476" s="6"/>
      <c r="U476" s="28" t="str">
        <f>HYPERLINK("https://media.infra-m.ru/1976/1976195/cover/1976195.jpg", "Обложка")</f>
        <v>Обложка</v>
      </c>
      <c r="V476" s="28" t="str">
        <f>HYPERLINK("https://znanium.com/catalog/product/1023596", "Ознакомиться")</f>
        <v>Ознакомиться</v>
      </c>
      <c r="W476" s="8" t="s">
        <v>666</v>
      </c>
      <c r="X476" s="6"/>
      <c r="Y476" s="6"/>
      <c r="Z476" s="6" t="s">
        <v>192</v>
      </c>
      <c r="AA476" s="6" t="s">
        <v>193</v>
      </c>
    </row>
    <row r="477" spans="1:27" s="4" customFormat="1" ht="51.95" customHeight="1">
      <c r="A477" s="5">
        <v>0</v>
      </c>
      <c r="B477" s="6" t="s">
        <v>3216</v>
      </c>
      <c r="C477" s="13">
        <v>920</v>
      </c>
      <c r="D477" s="8" t="s">
        <v>3217</v>
      </c>
      <c r="E477" s="8" t="s">
        <v>3218</v>
      </c>
      <c r="F477" s="8" t="s">
        <v>1215</v>
      </c>
      <c r="G477" s="6" t="s">
        <v>37</v>
      </c>
      <c r="H477" s="6" t="s">
        <v>38</v>
      </c>
      <c r="I477" s="8" t="s">
        <v>187</v>
      </c>
      <c r="J477" s="9">
        <v>1</v>
      </c>
      <c r="K477" s="9">
        <v>242</v>
      </c>
      <c r="L477" s="9">
        <v>2022</v>
      </c>
      <c r="M477" s="8" t="s">
        <v>3219</v>
      </c>
      <c r="N477" s="8" t="s">
        <v>41</v>
      </c>
      <c r="O477" s="8" t="s">
        <v>64</v>
      </c>
      <c r="P477" s="6" t="s">
        <v>65</v>
      </c>
      <c r="Q477" s="8" t="s">
        <v>189</v>
      </c>
      <c r="R477" s="10" t="s">
        <v>3220</v>
      </c>
      <c r="S477" s="11" t="s">
        <v>3221</v>
      </c>
      <c r="T477" s="6"/>
      <c r="U477" s="28" t="str">
        <f>HYPERLINK("https://media.infra-m.ru/1851/1851433/cover/1851433.jpg", "Обложка")</f>
        <v>Обложка</v>
      </c>
      <c r="V477" s="28" t="str">
        <f>HYPERLINK("https://znanium.com/catalog/product/1851433", "Ознакомиться")</f>
        <v>Ознакомиться</v>
      </c>
      <c r="W477" s="8" t="s">
        <v>1219</v>
      </c>
      <c r="X477" s="6"/>
      <c r="Y477" s="6"/>
      <c r="Z477" s="6" t="s">
        <v>192</v>
      </c>
      <c r="AA477" s="6" t="s">
        <v>135</v>
      </c>
    </row>
    <row r="478" spans="1:27" s="4" customFormat="1" ht="51.95" customHeight="1">
      <c r="A478" s="5">
        <v>0</v>
      </c>
      <c r="B478" s="6" t="s">
        <v>3222</v>
      </c>
      <c r="C478" s="7">
        <v>1114</v>
      </c>
      <c r="D478" s="8" t="s">
        <v>3223</v>
      </c>
      <c r="E478" s="8" t="s">
        <v>3218</v>
      </c>
      <c r="F478" s="8" t="s">
        <v>1215</v>
      </c>
      <c r="G478" s="6" t="s">
        <v>37</v>
      </c>
      <c r="H478" s="6" t="s">
        <v>38</v>
      </c>
      <c r="I478" s="8" t="s">
        <v>62</v>
      </c>
      <c r="J478" s="9">
        <v>1</v>
      </c>
      <c r="K478" s="9">
        <v>242</v>
      </c>
      <c r="L478" s="9">
        <v>2022</v>
      </c>
      <c r="M478" s="8" t="s">
        <v>3224</v>
      </c>
      <c r="N478" s="8" t="s">
        <v>41</v>
      </c>
      <c r="O478" s="8" t="s">
        <v>64</v>
      </c>
      <c r="P478" s="6" t="s">
        <v>65</v>
      </c>
      <c r="Q478" s="8" t="s">
        <v>66</v>
      </c>
      <c r="R478" s="10" t="s">
        <v>3225</v>
      </c>
      <c r="S478" s="11" t="s">
        <v>3226</v>
      </c>
      <c r="T478" s="6"/>
      <c r="U478" s="28" t="str">
        <f>HYPERLINK("https://media.infra-m.ru/2114/2114825/cover/2114825.jpg", "Обложка")</f>
        <v>Обложка</v>
      </c>
      <c r="V478" s="28" t="str">
        <f>HYPERLINK("https://znanium.com/catalog/product/1854409", "Ознакомиться")</f>
        <v>Ознакомиться</v>
      </c>
      <c r="W478" s="8" t="s">
        <v>1219</v>
      </c>
      <c r="X478" s="6"/>
      <c r="Y478" s="6"/>
      <c r="Z478" s="6"/>
      <c r="AA478" s="6" t="s">
        <v>70</v>
      </c>
    </row>
    <row r="479" spans="1:27" s="4" customFormat="1" ht="51.95" customHeight="1">
      <c r="A479" s="5">
        <v>0</v>
      </c>
      <c r="B479" s="6" t="s">
        <v>3227</v>
      </c>
      <c r="C479" s="7">
        <v>1730</v>
      </c>
      <c r="D479" s="8" t="s">
        <v>3228</v>
      </c>
      <c r="E479" s="8" t="s">
        <v>3229</v>
      </c>
      <c r="F479" s="8" t="s">
        <v>3230</v>
      </c>
      <c r="G479" s="6" t="s">
        <v>121</v>
      </c>
      <c r="H479" s="6" t="s">
        <v>38</v>
      </c>
      <c r="I479" s="8" t="s">
        <v>39</v>
      </c>
      <c r="J479" s="9">
        <v>1</v>
      </c>
      <c r="K479" s="9">
        <v>384</v>
      </c>
      <c r="L479" s="9">
        <v>2023</v>
      </c>
      <c r="M479" s="8" t="s">
        <v>3231</v>
      </c>
      <c r="N479" s="8" t="s">
        <v>41</v>
      </c>
      <c r="O479" s="8" t="s">
        <v>54</v>
      </c>
      <c r="P479" s="6" t="s">
        <v>43</v>
      </c>
      <c r="Q479" s="8" t="s">
        <v>44</v>
      </c>
      <c r="R479" s="10" t="s">
        <v>3232</v>
      </c>
      <c r="S479" s="11"/>
      <c r="T479" s="6"/>
      <c r="U479" s="28" t="str">
        <f>HYPERLINK("https://media.infra-m.ru/1898/1898400/cover/1898400.jpg", "Обложка")</f>
        <v>Обложка</v>
      </c>
      <c r="V479" s="28" t="str">
        <f>HYPERLINK("https://znanium.com/catalog/product/1898400", "Ознакомиться")</f>
        <v>Ознакомиться</v>
      </c>
      <c r="W479" s="8" t="s">
        <v>77</v>
      </c>
      <c r="X479" s="6"/>
      <c r="Y479" s="6"/>
      <c r="Z479" s="6"/>
      <c r="AA479" s="6" t="s">
        <v>574</v>
      </c>
    </row>
    <row r="480" spans="1:27" s="4" customFormat="1" ht="51.95" customHeight="1">
      <c r="A480" s="5">
        <v>0</v>
      </c>
      <c r="B480" s="6" t="s">
        <v>3233</v>
      </c>
      <c r="C480" s="7">
        <v>1764.9</v>
      </c>
      <c r="D480" s="8" t="s">
        <v>3234</v>
      </c>
      <c r="E480" s="8" t="s">
        <v>3235</v>
      </c>
      <c r="F480" s="8" t="s">
        <v>3236</v>
      </c>
      <c r="G480" s="6" t="s">
        <v>121</v>
      </c>
      <c r="H480" s="6" t="s">
        <v>38</v>
      </c>
      <c r="I480" s="8" t="s">
        <v>62</v>
      </c>
      <c r="J480" s="9">
        <v>1</v>
      </c>
      <c r="K480" s="9">
        <v>392</v>
      </c>
      <c r="L480" s="9">
        <v>2023</v>
      </c>
      <c r="M480" s="8" t="s">
        <v>3237</v>
      </c>
      <c r="N480" s="8" t="s">
        <v>41</v>
      </c>
      <c r="O480" s="8" t="s">
        <v>64</v>
      </c>
      <c r="P480" s="6" t="s">
        <v>65</v>
      </c>
      <c r="Q480" s="8" t="s">
        <v>66</v>
      </c>
      <c r="R480" s="10" t="s">
        <v>3238</v>
      </c>
      <c r="S480" s="11" t="s">
        <v>3239</v>
      </c>
      <c r="T480" s="6"/>
      <c r="U480" s="28" t="str">
        <f>HYPERLINK("https://media.infra-m.ru/1913/1913702/cover/1913702.jpg", "Обложка")</f>
        <v>Обложка</v>
      </c>
      <c r="V480" s="28" t="str">
        <f>HYPERLINK("https://znanium.com/catalog/product/914159", "Ознакомиться")</f>
        <v>Ознакомиться</v>
      </c>
      <c r="W480" s="8" t="s">
        <v>463</v>
      </c>
      <c r="X480" s="6"/>
      <c r="Y480" s="6"/>
      <c r="Z480" s="6"/>
      <c r="AA480" s="6" t="s">
        <v>144</v>
      </c>
    </row>
    <row r="481" spans="1:27" s="4" customFormat="1" ht="51.95" customHeight="1">
      <c r="A481" s="5">
        <v>0</v>
      </c>
      <c r="B481" s="6" t="s">
        <v>3240</v>
      </c>
      <c r="C481" s="7">
        <v>1464</v>
      </c>
      <c r="D481" s="8" t="s">
        <v>3241</v>
      </c>
      <c r="E481" s="8" t="s">
        <v>3242</v>
      </c>
      <c r="F481" s="8" t="s">
        <v>3243</v>
      </c>
      <c r="G481" s="6" t="s">
        <v>121</v>
      </c>
      <c r="H481" s="6" t="s">
        <v>38</v>
      </c>
      <c r="I481" s="8" t="s">
        <v>39</v>
      </c>
      <c r="J481" s="9">
        <v>1</v>
      </c>
      <c r="K481" s="9">
        <v>319</v>
      </c>
      <c r="L481" s="9">
        <v>2024</v>
      </c>
      <c r="M481" s="8" t="s">
        <v>3244</v>
      </c>
      <c r="N481" s="8" t="s">
        <v>41</v>
      </c>
      <c r="O481" s="8" t="s">
        <v>181</v>
      </c>
      <c r="P481" s="6" t="s">
        <v>43</v>
      </c>
      <c r="Q481" s="8" t="s">
        <v>44</v>
      </c>
      <c r="R481" s="10" t="s">
        <v>3245</v>
      </c>
      <c r="S481" s="11"/>
      <c r="T481" s="6"/>
      <c r="U481" s="28" t="str">
        <f>HYPERLINK("https://media.infra-m.ru/2117/2117150/cover/2117150.jpg", "Обложка")</f>
        <v>Обложка</v>
      </c>
      <c r="V481" s="28" t="str">
        <f>HYPERLINK("https://znanium.com/catalog/product/1215350", "Ознакомиться")</f>
        <v>Ознакомиться</v>
      </c>
      <c r="W481" s="8" t="s">
        <v>313</v>
      </c>
      <c r="X481" s="6"/>
      <c r="Y481" s="6"/>
      <c r="Z481" s="6"/>
      <c r="AA481" s="6" t="s">
        <v>57</v>
      </c>
    </row>
    <row r="482" spans="1:27" s="4" customFormat="1" ht="51.95" customHeight="1">
      <c r="A482" s="5">
        <v>0</v>
      </c>
      <c r="B482" s="6" t="s">
        <v>3246</v>
      </c>
      <c r="C482" s="13">
        <v>800</v>
      </c>
      <c r="D482" s="8" t="s">
        <v>3247</v>
      </c>
      <c r="E482" s="8" t="s">
        <v>3248</v>
      </c>
      <c r="F482" s="8" t="s">
        <v>3249</v>
      </c>
      <c r="G482" s="6" t="s">
        <v>37</v>
      </c>
      <c r="H482" s="6" t="s">
        <v>38</v>
      </c>
      <c r="I482" s="8" t="s">
        <v>130</v>
      </c>
      <c r="J482" s="9">
        <v>1</v>
      </c>
      <c r="K482" s="9">
        <v>177</v>
      </c>
      <c r="L482" s="9">
        <v>2023</v>
      </c>
      <c r="M482" s="8" t="s">
        <v>3250</v>
      </c>
      <c r="N482" s="8" t="s">
        <v>41</v>
      </c>
      <c r="O482" s="8" t="s">
        <v>64</v>
      </c>
      <c r="P482" s="6" t="s">
        <v>65</v>
      </c>
      <c r="Q482" s="8" t="s">
        <v>66</v>
      </c>
      <c r="R482" s="10" t="s">
        <v>3251</v>
      </c>
      <c r="S482" s="11" t="s">
        <v>3252</v>
      </c>
      <c r="T482" s="6"/>
      <c r="U482" s="28" t="str">
        <f>HYPERLINK("https://media.infra-m.ru/2002/2002656/cover/2002656.jpg", "Обложка")</f>
        <v>Обложка</v>
      </c>
      <c r="V482" s="28" t="str">
        <f>HYPERLINK("https://znanium.com/catalog/product/2002656", "Ознакомиться")</f>
        <v>Ознакомиться</v>
      </c>
      <c r="W482" s="8" t="s">
        <v>849</v>
      </c>
      <c r="X482" s="6"/>
      <c r="Y482" s="6"/>
      <c r="Z482" s="6"/>
      <c r="AA482" s="6" t="s">
        <v>1523</v>
      </c>
    </row>
    <row r="483" spans="1:27" s="4" customFormat="1" ht="51.95" customHeight="1">
      <c r="A483" s="5">
        <v>0</v>
      </c>
      <c r="B483" s="6" t="s">
        <v>3253</v>
      </c>
      <c r="C483" s="13">
        <v>960</v>
      </c>
      <c r="D483" s="8" t="s">
        <v>3254</v>
      </c>
      <c r="E483" s="8" t="s">
        <v>3255</v>
      </c>
      <c r="F483" s="8" t="s">
        <v>3256</v>
      </c>
      <c r="G483" s="6" t="s">
        <v>52</v>
      </c>
      <c r="H483" s="6" t="s">
        <v>38</v>
      </c>
      <c r="I483" s="8" t="s">
        <v>39</v>
      </c>
      <c r="J483" s="9">
        <v>1</v>
      </c>
      <c r="K483" s="9">
        <v>229</v>
      </c>
      <c r="L483" s="9">
        <v>2022</v>
      </c>
      <c r="M483" s="8" t="s">
        <v>3257</v>
      </c>
      <c r="N483" s="8" t="s">
        <v>41</v>
      </c>
      <c r="O483" s="8" t="s">
        <v>54</v>
      </c>
      <c r="P483" s="6" t="s">
        <v>43</v>
      </c>
      <c r="Q483" s="8" t="s">
        <v>44</v>
      </c>
      <c r="R483" s="10" t="s">
        <v>3258</v>
      </c>
      <c r="S483" s="11"/>
      <c r="T483" s="6"/>
      <c r="U483" s="28" t="str">
        <f>HYPERLINK("https://media.infra-m.ru/1865/1865377/cover/1865377.jpg", "Обложка")</f>
        <v>Обложка</v>
      </c>
      <c r="V483" s="28" t="str">
        <f>HYPERLINK("https://znanium.com/catalog/product/1865377", "Ознакомиться")</f>
        <v>Ознакомиться</v>
      </c>
      <c r="W483" s="8" t="s">
        <v>3259</v>
      </c>
      <c r="X483" s="6"/>
      <c r="Y483" s="6"/>
      <c r="Z483" s="6"/>
      <c r="AA483" s="6" t="s">
        <v>78</v>
      </c>
    </row>
    <row r="484" spans="1:27" s="4" customFormat="1" ht="51.95" customHeight="1">
      <c r="A484" s="5">
        <v>0</v>
      </c>
      <c r="B484" s="6" t="s">
        <v>3260</v>
      </c>
      <c r="C484" s="7">
        <v>1320</v>
      </c>
      <c r="D484" s="8" t="s">
        <v>3261</v>
      </c>
      <c r="E484" s="8" t="s">
        <v>3262</v>
      </c>
      <c r="F484" s="8" t="s">
        <v>3263</v>
      </c>
      <c r="G484" s="6" t="s">
        <v>121</v>
      </c>
      <c r="H484" s="6" t="s">
        <v>38</v>
      </c>
      <c r="I484" s="8" t="s">
        <v>2423</v>
      </c>
      <c r="J484" s="9">
        <v>1</v>
      </c>
      <c r="K484" s="9">
        <v>280</v>
      </c>
      <c r="L484" s="9">
        <v>2024</v>
      </c>
      <c r="M484" s="8" t="s">
        <v>3264</v>
      </c>
      <c r="N484" s="8" t="s">
        <v>41</v>
      </c>
      <c r="O484" s="8" t="s">
        <v>64</v>
      </c>
      <c r="P484" s="6" t="s">
        <v>65</v>
      </c>
      <c r="Q484" s="8" t="s">
        <v>132</v>
      </c>
      <c r="R484" s="10" t="s">
        <v>3265</v>
      </c>
      <c r="S484" s="11" t="s">
        <v>3266</v>
      </c>
      <c r="T484" s="6"/>
      <c r="U484" s="28" t="str">
        <f>HYPERLINK("https://media.infra-m.ru/2082/2082608/cover/2082608.jpg", "Обложка")</f>
        <v>Обложка</v>
      </c>
      <c r="V484" s="28" t="str">
        <f>HYPERLINK("https://znanium.com/catalog/product/2082608", "Ознакомиться")</f>
        <v>Ознакомиться</v>
      </c>
      <c r="W484" s="8" t="s">
        <v>2426</v>
      </c>
      <c r="X484" s="6" t="s">
        <v>1002</v>
      </c>
      <c r="Y484" s="6"/>
      <c r="Z484" s="6"/>
      <c r="AA484" s="6" t="s">
        <v>2126</v>
      </c>
    </row>
    <row r="485" spans="1:27" s="4" customFormat="1" ht="51.95" customHeight="1">
      <c r="A485" s="5">
        <v>0</v>
      </c>
      <c r="B485" s="6" t="s">
        <v>3267</v>
      </c>
      <c r="C485" s="7">
        <v>2240</v>
      </c>
      <c r="D485" s="8" t="s">
        <v>3268</v>
      </c>
      <c r="E485" s="8" t="s">
        <v>3269</v>
      </c>
      <c r="F485" s="8" t="s">
        <v>3270</v>
      </c>
      <c r="G485" s="6" t="s">
        <v>37</v>
      </c>
      <c r="H485" s="6" t="s">
        <v>38</v>
      </c>
      <c r="I485" s="8" t="s">
        <v>39</v>
      </c>
      <c r="J485" s="9">
        <v>1</v>
      </c>
      <c r="K485" s="9">
        <v>497</v>
      </c>
      <c r="L485" s="9">
        <v>2023</v>
      </c>
      <c r="M485" s="8" t="s">
        <v>3271</v>
      </c>
      <c r="N485" s="8" t="s">
        <v>41</v>
      </c>
      <c r="O485" s="8" t="s">
        <v>64</v>
      </c>
      <c r="P485" s="6" t="s">
        <v>43</v>
      </c>
      <c r="Q485" s="8" t="s">
        <v>44</v>
      </c>
      <c r="R485" s="10" t="s">
        <v>1224</v>
      </c>
      <c r="S485" s="11"/>
      <c r="T485" s="6"/>
      <c r="U485" s="28" t="str">
        <f>HYPERLINK("https://media.infra-m.ru/1926/1926302/cover/1926302.jpg", "Обложка")</f>
        <v>Обложка</v>
      </c>
      <c r="V485" s="28" t="str">
        <f>HYPERLINK("https://znanium.com/catalog/product/1926302", "Ознакомиться")</f>
        <v>Ознакомиться</v>
      </c>
      <c r="W485" s="8" t="s">
        <v>2911</v>
      </c>
      <c r="X485" s="6"/>
      <c r="Y485" s="6"/>
      <c r="Z485" s="6"/>
      <c r="AA485" s="6" t="s">
        <v>320</v>
      </c>
    </row>
    <row r="486" spans="1:27" s="4" customFormat="1" ht="42" customHeight="1">
      <c r="A486" s="5">
        <v>0</v>
      </c>
      <c r="B486" s="6" t="s">
        <v>3272</v>
      </c>
      <c r="C486" s="7">
        <v>1024</v>
      </c>
      <c r="D486" s="8" t="s">
        <v>3273</v>
      </c>
      <c r="E486" s="8" t="s">
        <v>3274</v>
      </c>
      <c r="F486" s="8" t="s">
        <v>3275</v>
      </c>
      <c r="G486" s="6" t="s">
        <v>37</v>
      </c>
      <c r="H486" s="6" t="s">
        <v>38</v>
      </c>
      <c r="I486" s="8" t="s">
        <v>62</v>
      </c>
      <c r="J486" s="9">
        <v>1</v>
      </c>
      <c r="K486" s="9">
        <v>222</v>
      </c>
      <c r="L486" s="9">
        <v>2024</v>
      </c>
      <c r="M486" s="8" t="s">
        <v>3276</v>
      </c>
      <c r="N486" s="8" t="s">
        <v>41</v>
      </c>
      <c r="O486" s="8" t="s">
        <v>54</v>
      </c>
      <c r="P486" s="6" t="s">
        <v>65</v>
      </c>
      <c r="Q486" s="8" t="s">
        <v>66</v>
      </c>
      <c r="R486" s="10" t="s">
        <v>3277</v>
      </c>
      <c r="S486" s="11"/>
      <c r="T486" s="6"/>
      <c r="U486" s="28" t="str">
        <f>HYPERLINK("https://media.infra-m.ru/1894/1894492/cover/1894492.jpg", "Обложка")</f>
        <v>Обложка</v>
      </c>
      <c r="V486" s="28" t="str">
        <f>HYPERLINK("https://znanium.com/catalog/product/1864120", "Ознакомиться")</f>
        <v>Ознакомиться</v>
      </c>
      <c r="W486" s="8" t="s">
        <v>116</v>
      </c>
      <c r="X486" s="6"/>
      <c r="Y486" s="6"/>
      <c r="Z486" s="6"/>
      <c r="AA486" s="6" t="s">
        <v>225</v>
      </c>
    </row>
    <row r="487" spans="1:27" s="4" customFormat="1" ht="51.95" customHeight="1">
      <c r="A487" s="5">
        <v>0</v>
      </c>
      <c r="B487" s="6" t="s">
        <v>3278</v>
      </c>
      <c r="C487" s="13">
        <v>694.9</v>
      </c>
      <c r="D487" s="8" t="s">
        <v>3279</v>
      </c>
      <c r="E487" s="8" t="s">
        <v>3280</v>
      </c>
      <c r="F487" s="8" t="s">
        <v>3275</v>
      </c>
      <c r="G487" s="6" t="s">
        <v>121</v>
      </c>
      <c r="H487" s="6" t="s">
        <v>38</v>
      </c>
      <c r="I487" s="8" t="s">
        <v>62</v>
      </c>
      <c r="J487" s="9">
        <v>1</v>
      </c>
      <c r="K487" s="9">
        <v>216</v>
      </c>
      <c r="L487" s="9">
        <v>2019</v>
      </c>
      <c r="M487" s="8" t="s">
        <v>3281</v>
      </c>
      <c r="N487" s="8" t="s">
        <v>41</v>
      </c>
      <c r="O487" s="8" t="s">
        <v>54</v>
      </c>
      <c r="P487" s="6" t="s">
        <v>65</v>
      </c>
      <c r="Q487" s="8" t="s">
        <v>66</v>
      </c>
      <c r="R487" s="10" t="s">
        <v>3277</v>
      </c>
      <c r="S487" s="11" t="s">
        <v>3282</v>
      </c>
      <c r="T487" s="6"/>
      <c r="U487" s="28" t="str">
        <f>HYPERLINK("https://media.infra-m.ru/1021/1021962/cover/1021962.jpg", "Обложка")</f>
        <v>Обложка</v>
      </c>
      <c r="V487" s="28" t="str">
        <f>HYPERLINK("https://znanium.com/catalog/product/1864120", "Ознакомиться")</f>
        <v>Ознакомиться</v>
      </c>
      <c r="W487" s="8" t="s">
        <v>116</v>
      </c>
      <c r="X487" s="6"/>
      <c r="Y487" s="6"/>
      <c r="Z487" s="6"/>
      <c r="AA487" s="6" t="s">
        <v>57</v>
      </c>
    </row>
    <row r="488" spans="1:27" s="4" customFormat="1" ht="51.95" customHeight="1">
      <c r="A488" s="5">
        <v>0</v>
      </c>
      <c r="B488" s="6" t="s">
        <v>3283</v>
      </c>
      <c r="C488" s="13">
        <v>874</v>
      </c>
      <c r="D488" s="8" t="s">
        <v>3284</v>
      </c>
      <c r="E488" s="8" t="s">
        <v>3285</v>
      </c>
      <c r="F488" s="8" t="s">
        <v>3286</v>
      </c>
      <c r="G488" s="6" t="s">
        <v>121</v>
      </c>
      <c r="H488" s="6" t="s">
        <v>38</v>
      </c>
      <c r="I488" s="8" t="s">
        <v>2029</v>
      </c>
      <c r="J488" s="9">
        <v>1</v>
      </c>
      <c r="K488" s="9">
        <v>192</v>
      </c>
      <c r="L488" s="9">
        <v>2023</v>
      </c>
      <c r="M488" s="8" t="s">
        <v>3287</v>
      </c>
      <c r="N488" s="8" t="s">
        <v>41</v>
      </c>
      <c r="O488" s="8" t="s">
        <v>42</v>
      </c>
      <c r="P488" s="6" t="s">
        <v>65</v>
      </c>
      <c r="Q488" s="8" t="s">
        <v>66</v>
      </c>
      <c r="R488" s="10" t="s">
        <v>3288</v>
      </c>
      <c r="S488" s="11" t="s">
        <v>3289</v>
      </c>
      <c r="T488" s="6"/>
      <c r="U488" s="28" t="str">
        <f>HYPERLINK("https://media.infra-m.ru/2006/2006874/cover/2006874.jpg", "Обложка")</f>
        <v>Обложка</v>
      </c>
      <c r="V488" s="12"/>
      <c r="W488" s="8" t="s">
        <v>463</v>
      </c>
      <c r="X488" s="6"/>
      <c r="Y488" s="6"/>
      <c r="Z488" s="6"/>
      <c r="AA488" s="6" t="s">
        <v>91</v>
      </c>
    </row>
    <row r="489" spans="1:27" s="4" customFormat="1" ht="51.95" customHeight="1">
      <c r="A489" s="5">
        <v>0</v>
      </c>
      <c r="B489" s="6" t="s">
        <v>3290</v>
      </c>
      <c r="C489" s="7">
        <v>2177</v>
      </c>
      <c r="D489" s="8" t="s">
        <v>3291</v>
      </c>
      <c r="E489" s="8" t="s">
        <v>3292</v>
      </c>
      <c r="F489" s="8" t="s">
        <v>3293</v>
      </c>
      <c r="G489" s="6" t="s">
        <v>52</v>
      </c>
      <c r="H489" s="6" t="s">
        <v>38</v>
      </c>
      <c r="I489" s="8" t="s">
        <v>62</v>
      </c>
      <c r="J489" s="9">
        <v>1</v>
      </c>
      <c r="K489" s="9">
        <v>230</v>
      </c>
      <c r="L489" s="9">
        <v>2024</v>
      </c>
      <c r="M489" s="8" t="s">
        <v>3294</v>
      </c>
      <c r="N489" s="8" t="s">
        <v>41</v>
      </c>
      <c r="O489" s="8" t="s">
        <v>181</v>
      </c>
      <c r="P489" s="6" t="s">
        <v>65</v>
      </c>
      <c r="Q489" s="8" t="s">
        <v>66</v>
      </c>
      <c r="R489" s="10" t="s">
        <v>3295</v>
      </c>
      <c r="S489" s="11" t="s">
        <v>3296</v>
      </c>
      <c r="T489" s="6" t="s">
        <v>89</v>
      </c>
      <c r="U489" s="28" t="str">
        <f>HYPERLINK("https://media.infra-m.ru/2103/2103742/cover/2103742.jpg", "Обложка")</f>
        <v>Обложка</v>
      </c>
      <c r="V489" s="28" t="str">
        <f>HYPERLINK("https://znanium.com/catalog/product/1946395", "Ознакомиться")</f>
        <v>Ознакомиться</v>
      </c>
      <c r="W489" s="8" t="s">
        <v>3297</v>
      </c>
      <c r="X489" s="6"/>
      <c r="Y489" s="6"/>
      <c r="Z489" s="6"/>
      <c r="AA489" s="6" t="s">
        <v>144</v>
      </c>
    </row>
    <row r="490" spans="1:27" s="4" customFormat="1" ht="51.95" customHeight="1">
      <c r="A490" s="5">
        <v>0</v>
      </c>
      <c r="B490" s="6" t="s">
        <v>3298</v>
      </c>
      <c r="C490" s="7">
        <v>2390</v>
      </c>
      <c r="D490" s="8" t="s">
        <v>3299</v>
      </c>
      <c r="E490" s="8" t="s">
        <v>3300</v>
      </c>
      <c r="F490" s="8" t="s">
        <v>3301</v>
      </c>
      <c r="G490" s="6" t="s">
        <v>37</v>
      </c>
      <c r="H490" s="6" t="s">
        <v>38</v>
      </c>
      <c r="I490" s="8" t="s">
        <v>62</v>
      </c>
      <c r="J490" s="9">
        <v>1</v>
      </c>
      <c r="K490" s="9">
        <v>569</v>
      </c>
      <c r="L490" s="9">
        <v>2023</v>
      </c>
      <c r="M490" s="8" t="s">
        <v>3302</v>
      </c>
      <c r="N490" s="8" t="s">
        <v>41</v>
      </c>
      <c r="O490" s="8" t="s">
        <v>64</v>
      </c>
      <c r="P490" s="6" t="s">
        <v>65</v>
      </c>
      <c r="Q490" s="8" t="s">
        <v>66</v>
      </c>
      <c r="R490" s="10" t="s">
        <v>3303</v>
      </c>
      <c r="S490" s="11" t="s">
        <v>3304</v>
      </c>
      <c r="T490" s="6"/>
      <c r="U490" s="28" t="str">
        <f>HYPERLINK("https://media.infra-m.ru/1899/1899831/cover/1899831.jpg", "Обложка")</f>
        <v>Обложка</v>
      </c>
      <c r="V490" s="28" t="str">
        <f>HYPERLINK("https://znanium.com/catalog/product/773175", "Ознакомиться")</f>
        <v>Ознакомиться</v>
      </c>
      <c r="W490" s="8" t="s">
        <v>730</v>
      </c>
      <c r="X490" s="6"/>
      <c r="Y490" s="6"/>
      <c r="Z490" s="6"/>
      <c r="AA490" s="6" t="s">
        <v>70</v>
      </c>
    </row>
    <row r="491" spans="1:27" s="4" customFormat="1" ht="51.95" customHeight="1">
      <c r="A491" s="5">
        <v>0</v>
      </c>
      <c r="B491" s="6" t="s">
        <v>3305</v>
      </c>
      <c r="C491" s="7">
        <v>1480</v>
      </c>
      <c r="D491" s="8" t="s">
        <v>3306</v>
      </c>
      <c r="E491" s="8" t="s">
        <v>3307</v>
      </c>
      <c r="F491" s="8" t="s">
        <v>3308</v>
      </c>
      <c r="G491" s="6" t="s">
        <v>37</v>
      </c>
      <c r="H491" s="6" t="s">
        <v>38</v>
      </c>
      <c r="I491" s="8" t="s">
        <v>130</v>
      </c>
      <c r="J491" s="9">
        <v>1</v>
      </c>
      <c r="K491" s="9">
        <v>319</v>
      </c>
      <c r="L491" s="9">
        <v>2024</v>
      </c>
      <c r="M491" s="8" t="s">
        <v>3309</v>
      </c>
      <c r="N491" s="8" t="s">
        <v>41</v>
      </c>
      <c r="O491" s="8" t="s">
        <v>97</v>
      </c>
      <c r="P491" s="6" t="s">
        <v>65</v>
      </c>
      <c r="Q491" s="8" t="s">
        <v>66</v>
      </c>
      <c r="R491" s="10" t="s">
        <v>453</v>
      </c>
      <c r="S491" s="11" t="s">
        <v>3310</v>
      </c>
      <c r="T491" s="6"/>
      <c r="U491" s="28" t="str">
        <f>HYPERLINK("https://media.infra-m.ru/2091/2091902/cover/2091902.jpg", "Обложка")</f>
        <v>Обложка</v>
      </c>
      <c r="V491" s="28" t="str">
        <f>HYPERLINK("https://znanium.com/catalog/product/2091902", "Ознакомиться")</f>
        <v>Ознакомиться</v>
      </c>
      <c r="W491" s="8" t="s">
        <v>2384</v>
      </c>
      <c r="X491" s="6"/>
      <c r="Y491" s="6"/>
      <c r="Z491" s="6"/>
      <c r="AA491" s="6" t="s">
        <v>1357</v>
      </c>
    </row>
    <row r="492" spans="1:27" s="4" customFormat="1" ht="51.95" customHeight="1">
      <c r="A492" s="5">
        <v>0</v>
      </c>
      <c r="B492" s="6" t="s">
        <v>3311</v>
      </c>
      <c r="C492" s="13">
        <v>574.9</v>
      </c>
      <c r="D492" s="8" t="s">
        <v>3312</v>
      </c>
      <c r="E492" s="8" t="s">
        <v>3313</v>
      </c>
      <c r="F492" s="8" t="s">
        <v>546</v>
      </c>
      <c r="G492" s="6" t="s">
        <v>121</v>
      </c>
      <c r="H492" s="6" t="s">
        <v>38</v>
      </c>
      <c r="I492" s="8" t="s">
        <v>62</v>
      </c>
      <c r="J492" s="9">
        <v>1</v>
      </c>
      <c r="K492" s="9">
        <v>127</v>
      </c>
      <c r="L492" s="9">
        <v>2023</v>
      </c>
      <c r="M492" s="8" t="s">
        <v>3314</v>
      </c>
      <c r="N492" s="8" t="s">
        <v>41</v>
      </c>
      <c r="O492" s="8" t="s">
        <v>54</v>
      </c>
      <c r="P492" s="6" t="s">
        <v>65</v>
      </c>
      <c r="Q492" s="8" t="s">
        <v>66</v>
      </c>
      <c r="R492" s="10" t="s">
        <v>2346</v>
      </c>
      <c r="S492" s="11" t="s">
        <v>3315</v>
      </c>
      <c r="T492" s="6"/>
      <c r="U492" s="28" t="str">
        <f>HYPERLINK("https://media.infra-m.ru/2044/2044326/cover/2044326.jpg", "Обложка")</f>
        <v>Обложка</v>
      </c>
      <c r="V492" s="28" t="str">
        <f>HYPERLINK("https://znanium.com/catalog/product/1878086", "Ознакомиться")</f>
        <v>Ознакомиться</v>
      </c>
      <c r="W492" s="8" t="s">
        <v>549</v>
      </c>
      <c r="X492" s="6"/>
      <c r="Y492" s="6"/>
      <c r="Z492" s="6"/>
      <c r="AA492" s="6" t="s">
        <v>161</v>
      </c>
    </row>
    <row r="493" spans="1:27" s="4" customFormat="1" ht="51.95" customHeight="1">
      <c r="A493" s="5">
        <v>0</v>
      </c>
      <c r="B493" s="6" t="s">
        <v>3316</v>
      </c>
      <c r="C493" s="7">
        <v>1584.9</v>
      </c>
      <c r="D493" s="8" t="s">
        <v>3317</v>
      </c>
      <c r="E493" s="8" t="s">
        <v>3318</v>
      </c>
      <c r="F493" s="8" t="s">
        <v>838</v>
      </c>
      <c r="G493" s="6" t="s">
        <v>121</v>
      </c>
      <c r="H493" s="6" t="s">
        <v>207</v>
      </c>
      <c r="I493" s="8" t="s">
        <v>298</v>
      </c>
      <c r="J493" s="9">
        <v>1</v>
      </c>
      <c r="K493" s="9">
        <v>352</v>
      </c>
      <c r="L493" s="9">
        <v>2023</v>
      </c>
      <c r="M493" s="8" t="s">
        <v>3319</v>
      </c>
      <c r="N493" s="8" t="s">
        <v>41</v>
      </c>
      <c r="O493" s="8" t="s">
        <v>54</v>
      </c>
      <c r="P493" s="6" t="s">
        <v>65</v>
      </c>
      <c r="Q493" s="8" t="s">
        <v>189</v>
      </c>
      <c r="R493" s="10" t="s">
        <v>201</v>
      </c>
      <c r="S493" s="11" t="s">
        <v>3320</v>
      </c>
      <c r="T493" s="6"/>
      <c r="U493" s="28" t="str">
        <f>HYPERLINK("https://media.infra-m.ru/1913/1913643/cover/1913643.jpg", "Обложка")</f>
        <v>Обложка</v>
      </c>
      <c r="V493" s="28" t="str">
        <f>HYPERLINK("https://znanium.com/catalog/product/1362444", "Ознакомиться")</f>
        <v>Ознакомиться</v>
      </c>
      <c r="W493" s="8" t="s">
        <v>666</v>
      </c>
      <c r="X493" s="6"/>
      <c r="Y493" s="6"/>
      <c r="Z493" s="6"/>
      <c r="AA493" s="6" t="s">
        <v>1088</v>
      </c>
    </row>
    <row r="494" spans="1:27" s="4" customFormat="1" ht="51.95" customHeight="1">
      <c r="A494" s="5">
        <v>0</v>
      </c>
      <c r="B494" s="6" t="s">
        <v>3321</v>
      </c>
      <c r="C494" s="7">
        <v>1260</v>
      </c>
      <c r="D494" s="8" t="s">
        <v>3322</v>
      </c>
      <c r="E494" s="8" t="s">
        <v>3323</v>
      </c>
      <c r="F494" s="8" t="s">
        <v>1627</v>
      </c>
      <c r="G494" s="6" t="s">
        <v>121</v>
      </c>
      <c r="H494" s="6" t="s">
        <v>317</v>
      </c>
      <c r="I494" s="8"/>
      <c r="J494" s="9">
        <v>1</v>
      </c>
      <c r="K494" s="9">
        <v>392</v>
      </c>
      <c r="L494" s="9">
        <v>2019</v>
      </c>
      <c r="M494" s="8" t="s">
        <v>3324</v>
      </c>
      <c r="N494" s="8" t="s">
        <v>41</v>
      </c>
      <c r="O494" s="8" t="s">
        <v>54</v>
      </c>
      <c r="P494" s="6" t="s">
        <v>65</v>
      </c>
      <c r="Q494" s="8" t="s">
        <v>66</v>
      </c>
      <c r="R494" s="10" t="s">
        <v>3325</v>
      </c>
      <c r="S494" s="11"/>
      <c r="T494" s="6"/>
      <c r="U494" s="28" t="str">
        <f>HYPERLINK("https://media.infra-m.ru/0986/0986940/cover/986940.jpg", "Обложка")</f>
        <v>Обложка</v>
      </c>
      <c r="V494" s="28" t="str">
        <f>HYPERLINK("https://znanium.com/catalog/product/986940", "Ознакомиться")</f>
        <v>Ознакомиться</v>
      </c>
      <c r="W494" s="8" t="s">
        <v>784</v>
      </c>
      <c r="X494" s="6"/>
      <c r="Y494" s="6"/>
      <c r="Z494" s="6"/>
      <c r="AA494" s="6" t="s">
        <v>320</v>
      </c>
    </row>
    <row r="495" spans="1:27" s="4" customFormat="1" ht="51.95" customHeight="1">
      <c r="A495" s="5">
        <v>0</v>
      </c>
      <c r="B495" s="6" t="s">
        <v>3326</v>
      </c>
      <c r="C495" s="13">
        <v>724.9</v>
      </c>
      <c r="D495" s="8" t="s">
        <v>3327</v>
      </c>
      <c r="E495" s="8" t="s">
        <v>3328</v>
      </c>
      <c r="F495" s="8" t="s">
        <v>3329</v>
      </c>
      <c r="G495" s="6" t="s">
        <v>121</v>
      </c>
      <c r="H495" s="6" t="s">
        <v>207</v>
      </c>
      <c r="I495" s="8" t="s">
        <v>187</v>
      </c>
      <c r="J495" s="9">
        <v>1</v>
      </c>
      <c r="K495" s="9">
        <v>192</v>
      </c>
      <c r="L495" s="9">
        <v>2022</v>
      </c>
      <c r="M495" s="8" t="s">
        <v>3330</v>
      </c>
      <c r="N495" s="8" t="s">
        <v>41</v>
      </c>
      <c r="O495" s="8" t="s">
        <v>54</v>
      </c>
      <c r="P495" s="6" t="s">
        <v>65</v>
      </c>
      <c r="Q495" s="8" t="s">
        <v>189</v>
      </c>
      <c r="R495" s="10" t="s">
        <v>3331</v>
      </c>
      <c r="S495" s="11" t="s">
        <v>3332</v>
      </c>
      <c r="T495" s="6"/>
      <c r="U495" s="28" t="str">
        <f>HYPERLINK("https://media.infra-m.ru/1834/1834678/cover/1834678.jpg", "Обложка")</f>
        <v>Обложка</v>
      </c>
      <c r="V495" s="28" t="str">
        <f>HYPERLINK("https://znanium.com/catalog/product/1834678", "Ознакомиться")</f>
        <v>Ознакомиться</v>
      </c>
      <c r="W495" s="8" t="s">
        <v>3333</v>
      </c>
      <c r="X495" s="6"/>
      <c r="Y495" s="6"/>
      <c r="Z495" s="6"/>
      <c r="AA495" s="6" t="s">
        <v>454</v>
      </c>
    </row>
    <row r="496" spans="1:27" s="4" customFormat="1" ht="51.95" customHeight="1">
      <c r="A496" s="5">
        <v>0</v>
      </c>
      <c r="B496" s="6" t="s">
        <v>3334</v>
      </c>
      <c r="C496" s="13">
        <v>710</v>
      </c>
      <c r="D496" s="8" t="s">
        <v>3335</v>
      </c>
      <c r="E496" s="8" t="s">
        <v>3336</v>
      </c>
      <c r="F496" s="8" t="s">
        <v>3337</v>
      </c>
      <c r="G496" s="6" t="s">
        <v>37</v>
      </c>
      <c r="H496" s="6" t="s">
        <v>38</v>
      </c>
      <c r="I496" s="8" t="s">
        <v>2029</v>
      </c>
      <c r="J496" s="9">
        <v>1</v>
      </c>
      <c r="K496" s="9">
        <v>220</v>
      </c>
      <c r="L496" s="9">
        <v>2019</v>
      </c>
      <c r="M496" s="8" t="s">
        <v>3338</v>
      </c>
      <c r="N496" s="8" t="s">
        <v>41</v>
      </c>
      <c r="O496" s="8" t="s">
        <v>54</v>
      </c>
      <c r="P496" s="6" t="s">
        <v>65</v>
      </c>
      <c r="Q496" s="8" t="s">
        <v>66</v>
      </c>
      <c r="R496" s="10"/>
      <c r="S496" s="11" t="s">
        <v>3339</v>
      </c>
      <c r="T496" s="6"/>
      <c r="U496" s="28" t="str">
        <f>HYPERLINK("https://media.infra-m.ru/1018/1018911/cover/1018911.jpg", "Обложка")</f>
        <v>Обложка</v>
      </c>
      <c r="V496" s="12"/>
      <c r="W496" s="8" t="s">
        <v>463</v>
      </c>
      <c r="X496" s="6"/>
      <c r="Y496" s="6"/>
      <c r="Z496" s="6"/>
      <c r="AA496" s="6" t="s">
        <v>464</v>
      </c>
    </row>
    <row r="497" spans="1:27" s="4" customFormat="1" ht="44.1" customHeight="1">
      <c r="A497" s="5">
        <v>0</v>
      </c>
      <c r="B497" s="6" t="s">
        <v>3340</v>
      </c>
      <c r="C497" s="7">
        <v>1300</v>
      </c>
      <c r="D497" s="8" t="s">
        <v>3341</v>
      </c>
      <c r="E497" s="8" t="s">
        <v>3342</v>
      </c>
      <c r="F497" s="8" t="s">
        <v>3343</v>
      </c>
      <c r="G497" s="6" t="s">
        <v>52</v>
      </c>
      <c r="H497" s="6" t="s">
        <v>38</v>
      </c>
      <c r="I497" s="8" t="s">
        <v>39</v>
      </c>
      <c r="J497" s="9">
        <v>1</v>
      </c>
      <c r="K497" s="9">
        <v>226</v>
      </c>
      <c r="L497" s="9">
        <v>2022</v>
      </c>
      <c r="M497" s="8" t="s">
        <v>3344</v>
      </c>
      <c r="N497" s="8" t="s">
        <v>41</v>
      </c>
      <c r="O497" s="8" t="s">
        <v>64</v>
      </c>
      <c r="P497" s="6" t="s">
        <v>43</v>
      </c>
      <c r="Q497" s="8" t="s">
        <v>44</v>
      </c>
      <c r="R497" s="10" t="s">
        <v>3345</v>
      </c>
      <c r="S497" s="11"/>
      <c r="T497" s="6" t="s">
        <v>89</v>
      </c>
      <c r="U497" s="28" t="str">
        <f>HYPERLINK("https://media.infra-m.ru/1819/1819036/cover/1819036.jpg", "Обложка")</f>
        <v>Обложка</v>
      </c>
      <c r="V497" s="28" t="str">
        <f>HYPERLINK("https://znanium.com/catalog/product/1819036", "Ознакомиться")</f>
        <v>Ознакомиться</v>
      </c>
      <c r="W497" s="8" t="s">
        <v>3346</v>
      </c>
      <c r="X497" s="6"/>
      <c r="Y497" s="6"/>
      <c r="Z497" s="6"/>
      <c r="AA497" s="6" t="s">
        <v>78</v>
      </c>
    </row>
    <row r="498" spans="1:27" s="4" customFormat="1" ht="51.95" customHeight="1">
      <c r="A498" s="5">
        <v>0</v>
      </c>
      <c r="B498" s="6" t="s">
        <v>3347</v>
      </c>
      <c r="C498" s="7">
        <v>1074</v>
      </c>
      <c r="D498" s="8" t="s">
        <v>3348</v>
      </c>
      <c r="E498" s="8" t="s">
        <v>3349</v>
      </c>
      <c r="F498" s="8" t="s">
        <v>3350</v>
      </c>
      <c r="G498" s="6" t="s">
        <v>52</v>
      </c>
      <c r="H498" s="6" t="s">
        <v>122</v>
      </c>
      <c r="I498" s="8" t="s">
        <v>39</v>
      </c>
      <c r="J498" s="14">
        <v>0</v>
      </c>
      <c r="K498" s="9">
        <v>238</v>
      </c>
      <c r="L498" s="9">
        <v>2023</v>
      </c>
      <c r="M498" s="8" t="s">
        <v>3351</v>
      </c>
      <c r="N498" s="8" t="s">
        <v>41</v>
      </c>
      <c r="O498" s="8" t="s">
        <v>54</v>
      </c>
      <c r="P498" s="6" t="s">
        <v>43</v>
      </c>
      <c r="Q498" s="8" t="s">
        <v>44</v>
      </c>
      <c r="R498" s="10" t="s">
        <v>3352</v>
      </c>
      <c r="S498" s="11"/>
      <c r="T498" s="6" t="s">
        <v>89</v>
      </c>
      <c r="U498" s="28" t="str">
        <f>HYPERLINK("https://media.infra-m.ru/2001/2001680/cover/2001680.jpg", "Обложка")</f>
        <v>Обложка</v>
      </c>
      <c r="V498" s="28" t="str">
        <f>HYPERLINK("https://znanium.com/catalog/product/1243846", "Ознакомиться")</f>
        <v>Ознакомиться</v>
      </c>
      <c r="W498" s="8" t="s">
        <v>3353</v>
      </c>
      <c r="X498" s="6"/>
      <c r="Y498" s="6"/>
      <c r="Z498" s="6"/>
      <c r="AA498" s="6" t="s">
        <v>320</v>
      </c>
    </row>
    <row r="499" spans="1:27" s="4" customFormat="1" ht="51.95" customHeight="1">
      <c r="A499" s="5">
        <v>0</v>
      </c>
      <c r="B499" s="6" t="s">
        <v>3354</v>
      </c>
      <c r="C499" s="7">
        <v>1684</v>
      </c>
      <c r="D499" s="8" t="s">
        <v>3355</v>
      </c>
      <c r="E499" s="8" t="s">
        <v>3356</v>
      </c>
      <c r="F499" s="8" t="s">
        <v>3357</v>
      </c>
      <c r="G499" s="6" t="s">
        <v>37</v>
      </c>
      <c r="H499" s="6" t="s">
        <v>38</v>
      </c>
      <c r="I499" s="8" t="s">
        <v>62</v>
      </c>
      <c r="J499" s="9">
        <v>1</v>
      </c>
      <c r="K499" s="9">
        <v>366</v>
      </c>
      <c r="L499" s="9">
        <v>2024</v>
      </c>
      <c r="M499" s="8" t="s">
        <v>3358</v>
      </c>
      <c r="N499" s="8" t="s">
        <v>41</v>
      </c>
      <c r="O499" s="8" t="s">
        <v>42</v>
      </c>
      <c r="P499" s="6" t="s">
        <v>85</v>
      </c>
      <c r="Q499" s="8" t="s">
        <v>66</v>
      </c>
      <c r="R499" s="10" t="s">
        <v>3359</v>
      </c>
      <c r="S499" s="11" t="s">
        <v>3360</v>
      </c>
      <c r="T499" s="6"/>
      <c r="U499" s="28" t="str">
        <f>HYPERLINK("https://media.infra-m.ru/2091/2091884/cover/2091884.jpg", "Обложка")</f>
        <v>Обложка</v>
      </c>
      <c r="V499" s="28" t="str">
        <f>HYPERLINK("https://znanium.com/catalog/product/1062325", "Ознакомиться")</f>
        <v>Ознакомиться</v>
      </c>
      <c r="W499" s="8" t="s">
        <v>3361</v>
      </c>
      <c r="X499" s="6"/>
      <c r="Y499" s="6"/>
      <c r="Z499" s="6"/>
      <c r="AA499" s="6" t="s">
        <v>3362</v>
      </c>
    </row>
    <row r="500" spans="1:27" s="4" customFormat="1" ht="51.95" customHeight="1">
      <c r="A500" s="5">
        <v>0</v>
      </c>
      <c r="B500" s="6" t="s">
        <v>3363</v>
      </c>
      <c r="C500" s="7">
        <v>1414</v>
      </c>
      <c r="D500" s="8" t="s">
        <v>3364</v>
      </c>
      <c r="E500" s="8" t="s">
        <v>3365</v>
      </c>
      <c r="F500" s="8" t="s">
        <v>3366</v>
      </c>
      <c r="G500" s="6" t="s">
        <v>121</v>
      </c>
      <c r="H500" s="6" t="s">
        <v>122</v>
      </c>
      <c r="I500" s="8" t="s">
        <v>62</v>
      </c>
      <c r="J500" s="9">
        <v>1</v>
      </c>
      <c r="K500" s="9">
        <v>308</v>
      </c>
      <c r="L500" s="9">
        <v>2023</v>
      </c>
      <c r="M500" s="8" t="s">
        <v>3367</v>
      </c>
      <c r="N500" s="8" t="s">
        <v>41</v>
      </c>
      <c r="O500" s="8" t="s">
        <v>42</v>
      </c>
      <c r="P500" s="6" t="s">
        <v>85</v>
      </c>
      <c r="Q500" s="8" t="s">
        <v>66</v>
      </c>
      <c r="R500" s="10" t="s">
        <v>3368</v>
      </c>
      <c r="S500" s="11" t="s">
        <v>3369</v>
      </c>
      <c r="T500" s="6"/>
      <c r="U500" s="28" t="str">
        <f>HYPERLINK("https://media.infra-m.ru/1021/1021501/cover/1021501.jpg", "Обложка")</f>
        <v>Обложка</v>
      </c>
      <c r="V500" s="28" t="str">
        <f>HYPERLINK("https://znanium.com/catalog/product/1021500", "Ознакомиться")</f>
        <v>Ознакомиться</v>
      </c>
      <c r="W500" s="8" t="s">
        <v>3370</v>
      </c>
      <c r="X500" s="6"/>
      <c r="Y500" s="6"/>
      <c r="Z500" s="6"/>
      <c r="AA500" s="6" t="s">
        <v>70</v>
      </c>
    </row>
    <row r="501" spans="1:27" s="4" customFormat="1" ht="42" customHeight="1">
      <c r="A501" s="5">
        <v>0</v>
      </c>
      <c r="B501" s="6" t="s">
        <v>3371</v>
      </c>
      <c r="C501" s="7">
        <v>1250</v>
      </c>
      <c r="D501" s="8" t="s">
        <v>3372</v>
      </c>
      <c r="E501" s="8" t="s">
        <v>3373</v>
      </c>
      <c r="F501" s="8" t="s">
        <v>3374</v>
      </c>
      <c r="G501" s="6" t="s">
        <v>52</v>
      </c>
      <c r="H501" s="6" t="s">
        <v>38</v>
      </c>
      <c r="I501" s="8" t="s">
        <v>39</v>
      </c>
      <c r="J501" s="9">
        <v>1</v>
      </c>
      <c r="K501" s="9">
        <v>296</v>
      </c>
      <c r="L501" s="9">
        <v>2022</v>
      </c>
      <c r="M501" s="8" t="s">
        <v>3375</v>
      </c>
      <c r="N501" s="8" t="s">
        <v>41</v>
      </c>
      <c r="O501" s="8" t="s">
        <v>64</v>
      </c>
      <c r="P501" s="6" t="s">
        <v>43</v>
      </c>
      <c r="Q501" s="8" t="s">
        <v>44</v>
      </c>
      <c r="R501" s="10" t="s">
        <v>3376</v>
      </c>
      <c r="S501" s="11"/>
      <c r="T501" s="6"/>
      <c r="U501" s="28" t="str">
        <f>HYPERLINK("https://media.infra-m.ru/1852/1852615/cover/1852615.jpg", "Обложка")</f>
        <v>Обложка</v>
      </c>
      <c r="V501" s="28" t="str">
        <f>HYPERLINK("https://znanium.com/catalog/product/1852615", "Ознакомиться")</f>
        <v>Ознакомиться</v>
      </c>
      <c r="W501" s="8" t="s">
        <v>3377</v>
      </c>
      <c r="X501" s="6"/>
      <c r="Y501" s="6"/>
      <c r="Z501" s="6"/>
      <c r="AA501" s="6" t="s">
        <v>78</v>
      </c>
    </row>
    <row r="502" spans="1:27" s="4" customFormat="1" ht="51.95" customHeight="1">
      <c r="A502" s="5">
        <v>0</v>
      </c>
      <c r="B502" s="6" t="s">
        <v>3378</v>
      </c>
      <c r="C502" s="13">
        <v>484</v>
      </c>
      <c r="D502" s="8" t="s">
        <v>3379</v>
      </c>
      <c r="E502" s="8" t="s">
        <v>3380</v>
      </c>
      <c r="F502" s="8" t="s">
        <v>3381</v>
      </c>
      <c r="G502" s="6" t="s">
        <v>52</v>
      </c>
      <c r="H502" s="6" t="s">
        <v>207</v>
      </c>
      <c r="I502" s="8" t="s">
        <v>130</v>
      </c>
      <c r="J502" s="9">
        <v>1</v>
      </c>
      <c r="K502" s="9">
        <v>80</v>
      </c>
      <c r="L502" s="9">
        <v>2024</v>
      </c>
      <c r="M502" s="8" t="s">
        <v>3382</v>
      </c>
      <c r="N502" s="8" t="s">
        <v>41</v>
      </c>
      <c r="O502" s="8" t="s">
        <v>64</v>
      </c>
      <c r="P502" s="6" t="s">
        <v>65</v>
      </c>
      <c r="Q502" s="8" t="s">
        <v>66</v>
      </c>
      <c r="R502" s="10" t="s">
        <v>2958</v>
      </c>
      <c r="S502" s="11" t="s">
        <v>3383</v>
      </c>
      <c r="T502" s="6"/>
      <c r="U502" s="28" t="str">
        <f>HYPERLINK("https://media.infra-m.ru/2091/2091912/cover/2091912.jpg", "Обложка")</f>
        <v>Обложка</v>
      </c>
      <c r="V502" s="12"/>
      <c r="W502" s="8" t="s">
        <v>2384</v>
      </c>
      <c r="X502" s="6"/>
      <c r="Y502" s="6"/>
      <c r="Z502" s="6"/>
      <c r="AA502" s="6" t="s">
        <v>161</v>
      </c>
    </row>
    <row r="503" spans="1:27" s="4" customFormat="1" ht="51.95" customHeight="1">
      <c r="A503" s="5">
        <v>0</v>
      </c>
      <c r="B503" s="6" t="s">
        <v>3384</v>
      </c>
      <c r="C503" s="7">
        <v>1440</v>
      </c>
      <c r="D503" s="8" t="s">
        <v>3385</v>
      </c>
      <c r="E503" s="8" t="s">
        <v>3386</v>
      </c>
      <c r="F503" s="8" t="s">
        <v>3387</v>
      </c>
      <c r="G503" s="6" t="s">
        <v>52</v>
      </c>
      <c r="H503" s="6" t="s">
        <v>207</v>
      </c>
      <c r="I503" s="8" t="s">
        <v>130</v>
      </c>
      <c r="J503" s="9">
        <v>1</v>
      </c>
      <c r="K503" s="9">
        <v>311</v>
      </c>
      <c r="L503" s="9">
        <v>2024</v>
      </c>
      <c r="M503" s="8" t="s">
        <v>3388</v>
      </c>
      <c r="N503" s="8" t="s">
        <v>41</v>
      </c>
      <c r="O503" s="8" t="s">
        <v>64</v>
      </c>
      <c r="P503" s="6" t="s">
        <v>65</v>
      </c>
      <c r="Q503" s="8" t="s">
        <v>66</v>
      </c>
      <c r="R503" s="10" t="s">
        <v>3389</v>
      </c>
      <c r="S503" s="11" t="s">
        <v>3390</v>
      </c>
      <c r="T503" s="6"/>
      <c r="U503" s="28" t="str">
        <f>HYPERLINK("https://media.infra-m.ru/2120/2120763/cover/2120763.jpg", "Обложка")</f>
        <v>Обложка</v>
      </c>
      <c r="V503" s="28" t="str">
        <f>HYPERLINK("https://znanium.com/catalog/product/2120763", "Ознакомиться")</f>
        <v>Ознакомиться</v>
      </c>
      <c r="W503" s="8" t="s">
        <v>3391</v>
      </c>
      <c r="X503" s="6"/>
      <c r="Y503" s="6"/>
      <c r="Z503" s="6"/>
      <c r="AA503" s="6" t="s">
        <v>70</v>
      </c>
    </row>
    <row r="504" spans="1:27" s="4" customFormat="1" ht="51.95" customHeight="1">
      <c r="A504" s="5">
        <v>0</v>
      </c>
      <c r="B504" s="6" t="s">
        <v>3392</v>
      </c>
      <c r="C504" s="13">
        <v>614.9</v>
      </c>
      <c r="D504" s="8" t="s">
        <v>3393</v>
      </c>
      <c r="E504" s="8" t="s">
        <v>3394</v>
      </c>
      <c r="F504" s="8" t="s">
        <v>3395</v>
      </c>
      <c r="G504" s="6" t="s">
        <v>52</v>
      </c>
      <c r="H504" s="6" t="s">
        <v>38</v>
      </c>
      <c r="I504" s="8" t="s">
        <v>62</v>
      </c>
      <c r="J504" s="9">
        <v>1</v>
      </c>
      <c r="K504" s="9">
        <v>162</v>
      </c>
      <c r="L504" s="9">
        <v>2022</v>
      </c>
      <c r="M504" s="8" t="s">
        <v>3396</v>
      </c>
      <c r="N504" s="8" t="s">
        <v>41</v>
      </c>
      <c r="O504" s="8" t="s">
        <v>181</v>
      </c>
      <c r="P504" s="6" t="s">
        <v>65</v>
      </c>
      <c r="Q504" s="8" t="s">
        <v>66</v>
      </c>
      <c r="R504" s="10" t="s">
        <v>3397</v>
      </c>
      <c r="S504" s="11" t="s">
        <v>3398</v>
      </c>
      <c r="T504" s="6"/>
      <c r="U504" s="28" t="str">
        <f>HYPERLINK("https://media.infra-m.ru/1856/1856567/cover/1856567.jpg", "Обложка")</f>
        <v>Обложка</v>
      </c>
      <c r="V504" s="28" t="str">
        <f>HYPERLINK("https://znanium.com/catalog/product/1856567", "Ознакомиться")</f>
        <v>Ознакомиться</v>
      </c>
      <c r="W504" s="8" t="s">
        <v>1170</v>
      </c>
      <c r="X504" s="6"/>
      <c r="Y504" s="6"/>
      <c r="Z504" s="6"/>
      <c r="AA504" s="6" t="s">
        <v>144</v>
      </c>
    </row>
    <row r="505" spans="1:27" s="4" customFormat="1" ht="42" customHeight="1">
      <c r="A505" s="5">
        <v>0</v>
      </c>
      <c r="B505" s="6" t="s">
        <v>3399</v>
      </c>
      <c r="C505" s="13">
        <v>550</v>
      </c>
      <c r="D505" s="8" t="s">
        <v>3400</v>
      </c>
      <c r="E505" s="8" t="s">
        <v>3401</v>
      </c>
      <c r="F505" s="8" t="s">
        <v>3402</v>
      </c>
      <c r="G505" s="6" t="s">
        <v>52</v>
      </c>
      <c r="H505" s="6" t="s">
        <v>38</v>
      </c>
      <c r="I505" s="8" t="s">
        <v>39</v>
      </c>
      <c r="J505" s="9">
        <v>1</v>
      </c>
      <c r="K505" s="9">
        <v>141</v>
      </c>
      <c r="L505" s="9">
        <v>2022</v>
      </c>
      <c r="M505" s="8" t="s">
        <v>3403</v>
      </c>
      <c r="N505" s="8" t="s">
        <v>41</v>
      </c>
      <c r="O505" s="8" t="s">
        <v>54</v>
      </c>
      <c r="P505" s="6" t="s">
        <v>43</v>
      </c>
      <c r="Q505" s="8" t="s">
        <v>44</v>
      </c>
      <c r="R505" s="10" t="s">
        <v>3404</v>
      </c>
      <c r="S505" s="11"/>
      <c r="T505" s="6"/>
      <c r="U505" s="28" t="str">
        <f>HYPERLINK("https://media.infra-m.ru/1851/1851253/cover/1851253.jpg", "Обложка")</f>
        <v>Обложка</v>
      </c>
      <c r="V505" s="28" t="str">
        <f>HYPERLINK("https://znanium.com/catalog/product/1851253", "Ознакомиться")</f>
        <v>Ознакомиться</v>
      </c>
      <c r="W505" s="8" t="s">
        <v>1317</v>
      </c>
      <c r="X505" s="6"/>
      <c r="Y505" s="6"/>
      <c r="Z505" s="6"/>
      <c r="AA505" s="6" t="s">
        <v>193</v>
      </c>
    </row>
    <row r="506" spans="1:27" s="4" customFormat="1" ht="42" customHeight="1">
      <c r="A506" s="5">
        <v>0</v>
      </c>
      <c r="B506" s="6" t="s">
        <v>3405</v>
      </c>
      <c r="C506" s="7">
        <v>1749</v>
      </c>
      <c r="D506" s="8" t="s">
        <v>3406</v>
      </c>
      <c r="E506" s="8" t="s">
        <v>3407</v>
      </c>
      <c r="F506" s="8"/>
      <c r="G506" s="6" t="s">
        <v>52</v>
      </c>
      <c r="H506" s="6" t="s">
        <v>3408</v>
      </c>
      <c r="I506" s="8"/>
      <c r="J506" s="9">
        <v>1</v>
      </c>
      <c r="K506" s="9">
        <v>123</v>
      </c>
      <c r="L506" s="9">
        <v>2020</v>
      </c>
      <c r="M506" s="8"/>
      <c r="N506" s="8" t="s">
        <v>41</v>
      </c>
      <c r="O506" s="8" t="s">
        <v>54</v>
      </c>
      <c r="P506" s="6" t="s">
        <v>258</v>
      </c>
      <c r="Q506" s="8" t="s">
        <v>44</v>
      </c>
      <c r="R506" s="10"/>
      <c r="S506" s="11"/>
      <c r="T506" s="6"/>
      <c r="U506" s="28" t="str">
        <f>HYPERLINK("https://media.infra-m.ru/1074/1074457/cover/1074457.jpg", "Обложка")</f>
        <v>Обложка</v>
      </c>
      <c r="V506" s="28" t="str">
        <f>HYPERLINK("https://znanium.com/catalog/product/1964118", "Ознакомиться")</f>
        <v>Ознакомиться</v>
      </c>
      <c r="W506" s="8"/>
      <c r="X506" s="6"/>
      <c r="Y506" s="6"/>
      <c r="Z506" s="6"/>
      <c r="AA506" s="6"/>
    </row>
    <row r="507" spans="1:27" s="4" customFormat="1" ht="51.95" customHeight="1">
      <c r="A507" s="5">
        <v>0</v>
      </c>
      <c r="B507" s="6" t="s">
        <v>3409</v>
      </c>
      <c r="C507" s="13">
        <v>690</v>
      </c>
      <c r="D507" s="8" t="s">
        <v>3410</v>
      </c>
      <c r="E507" s="8" t="s">
        <v>3411</v>
      </c>
      <c r="F507" s="8" t="s">
        <v>3412</v>
      </c>
      <c r="G507" s="6" t="s">
        <v>52</v>
      </c>
      <c r="H507" s="6" t="s">
        <v>38</v>
      </c>
      <c r="I507" s="8" t="s">
        <v>39</v>
      </c>
      <c r="J507" s="9">
        <v>1</v>
      </c>
      <c r="K507" s="9">
        <v>153</v>
      </c>
      <c r="L507" s="9">
        <v>2022</v>
      </c>
      <c r="M507" s="8" t="s">
        <v>3413</v>
      </c>
      <c r="N507" s="8" t="s">
        <v>41</v>
      </c>
      <c r="O507" s="8" t="s">
        <v>42</v>
      </c>
      <c r="P507" s="6" t="s">
        <v>43</v>
      </c>
      <c r="Q507" s="8" t="s">
        <v>44</v>
      </c>
      <c r="R507" s="10" t="s">
        <v>3414</v>
      </c>
      <c r="S507" s="11"/>
      <c r="T507" s="6"/>
      <c r="U507" s="28" t="str">
        <f>HYPERLINK("https://media.infra-m.ru/1859/1859843/cover/1859843.jpg", "Обложка")</f>
        <v>Обложка</v>
      </c>
      <c r="V507" s="28" t="str">
        <f>HYPERLINK("https://znanium.com/catalog/product/1859843", "Ознакомиться")</f>
        <v>Ознакомиться</v>
      </c>
      <c r="W507" s="8" t="s">
        <v>3415</v>
      </c>
      <c r="X507" s="6"/>
      <c r="Y507" s="6"/>
      <c r="Z507" s="6"/>
      <c r="AA507" s="6" t="s">
        <v>161</v>
      </c>
    </row>
    <row r="508" spans="1:27" s="4" customFormat="1" ht="51.95" customHeight="1">
      <c r="A508" s="5">
        <v>0</v>
      </c>
      <c r="B508" s="6" t="s">
        <v>3416</v>
      </c>
      <c r="C508" s="13">
        <v>514.9</v>
      </c>
      <c r="D508" s="8" t="s">
        <v>3417</v>
      </c>
      <c r="E508" s="8" t="s">
        <v>3418</v>
      </c>
      <c r="F508" s="8" t="s">
        <v>3419</v>
      </c>
      <c r="G508" s="6" t="s">
        <v>121</v>
      </c>
      <c r="H508" s="6" t="s">
        <v>38</v>
      </c>
      <c r="I508" s="8" t="s">
        <v>625</v>
      </c>
      <c r="J508" s="9">
        <v>1</v>
      </c>
      <c r="K508" s="9">
        <v>151</v>
      </c>
      <c r="L508" s="9">
        <v>2018</v>
      </c>
      <c r="M508" s="8" t="s">
        <v>3420</v>
      </c>
      <c r="N508" s="8" t="s">
        <v>41</v>
      </c>
      <c r="O508" s="8" t="s">
        <v>64</v>
      </c>
      <c r="P508" s="6" t="s">
        <v>43</v>
      </c>
      <c r="Q508" s="8" t="s">
        <v>44</v>
      </c>
      <c r="R508" s="10" t="s">
        <v>3421</v>
      </c>
      <c r="S508" s="11"/>
      <c r="T508" s="6" t="s">
        <v>89</v>
      </c>
      <c r="U508" s="28" t="str">
        <f>HYPERLINK("https://media.infra-m.ru/2081/2081992/cover/2081992.jpg", "Обложка")</f>
        <v>Обложка</v>
      </c>
      <c r="V508" s="28" t="str">
        <f>HYPERLINK("https://znanium.com/catalog/product/2032493", "Ознакомиться")</f>
        <v>Ознакомиться</v>
      </c>
      <c r="W508" s="8" t="s">
        <v>2172</v>
      </c>
      <c r="X508" s="6"/>
      <c r="Y508" s="6"/>
      <c r="Z508" s="6"/>
      <c r="AA508" s="6" t="s">
        <v>91</v>
      </c>
    </row>
    <row r="509" spans="1:27" s="4" customFormat="1" ht="42" customHeight="1">
      <c r="A509" s="5">
        <v>0</v>
      </c>
      <c r="B509" s="6" t="s">
        <v>3422</v>
      </c>
      <c r="C509" s="7">
        <v>1670</v>
      </c>
      <c r="D509" s="8" t="s">
        <v>3423</v>
      </c>
      <c r="E509" s="8" t="s">
        <v>3424</v>
      </c>
      <c r="F509" s="8" t="s">
        <v>426</v>
      </c>
      <c r="G509" s="6" t="s">
        <v>121</v>
      </c>
      <c r="H509" s="6" t="s">
        <v>38</v>
      </c>
      <c r="I509" s="8" t="s">
        <v>39</v>
      </c>
      <c r="J509" s="9">
        <v>1</v>
      </c>
      <c r="K509" s="9">
        <v>369</v>
      </c>
      <c r="L509" s="9">
        <v>2023</v>
      </c>
      <c r="M509" s="8" t="s">
        <v>3425</v>
      </c>
      <c r="N509" s="8" t="s">
        <v>41</v>
      </c>
      <c r="O509" s="8" t="s">
        <v>181</v>
      </c>
      <c r="P509" s="6" t="s">
        <v>43</v>
      </c>
      <c r="Q509" s="8" t="s">
        <v>44</v>
      </c>
      <c r="R509" s="10" t="s">
        <v>3426</v>
      </c>
      <c r="S509" s="11"/>
      <c r="T509" s="6"/>
      <c r="U509" s="28" t="str">
        <f>HYPERLINK("https://media.infra-m.ru/1903/1903346/cover/1903346.jpg", "Обложка")</f>
        <v>Обложка</v>
      </c>
      <c r="V509" s="28" t="str">
        <f>HYPERLINK("https://znanium.com/catalog/product/1903346", "Ознакомиться")</f>
        <v>Ознакомиться</v>
      </c>
      <c r="W509" s="8" t="s">
        <v>429</v>
      </c>
      <c r="X509" s="6" t="s">
        <v>879</v>
      </c>
      <c r="Y509" s="6"/>
      <c r="Z509" s="6"/>
      <c r="AA509" s="6" t="s">
        <v>574</v>
      </c>
    </row>
    <row r="510" spans="1:27" s="4" customFormat="1" ht="51.95" customHeight="1">
      <c r="A510" s="5">
        <v>0</v>
      </c>
      <c r="B510" s="6" t="s">
        <v>3427</v>
      </c>
      <c r="C510" s="7">
        <v>1200</v>
      </c>
      <c r="D510" s="8" t="s">
        <v>3428</v>
      </c>
      <c r="E510" s="8" t="s">
        <v>3429</v>
      </c>
      <c r="F510" s="8" t="s">
        <v>3430</v>
      </c>
      <c r="G510" s="6" t="s">
        <v>52</v>
      </c>
      <c r="H510" s="6" t="s">
        <v>38</v>
      </c>
      <c r="I510" s="8" t="s">
        <v>130</v>
      </c>
      <c r="J510" s="9">
        <v>1</v>
      </c>
      <c r="K510" s="9">
        <v>263</v>
      </c>
      <c r="L510" s="9">
        <v>2024</v>
      </c>
      <c r="M510" s="8" t="s">
        <v>3431</v>
      </c>
      <c r="N510" s="8" t="s">
        <v>41</v>
      </c>
      <c r="O510" s="8" t="s">
        <v>64</v>
      </c>
      <c r="P510" s="6" t="s">
        <v>85</v>
      </c>
      <c r="Q510" s="8" t="s">
        <v>132</v>
      </c>
      <c r="R510" s="10" t="s">
        <v>1599</v>
      </c>
      <c r="S510" s="11" t="s">
        <v>3432</v>
      </c>
      <c r="T510" s="6"/>
      <c r="U510" s="28" t="str">
        <f>HYPERLINK("https://media.infra-m.ru/2066/2066387/cover/2066387.jpg", "Обложка")</f>
        <v>Обложка</v>
      </c>
      <c r="V510" s="28" t="str">
        <f>HYPERLINK("https://znanium.com/catalog/product/2066387", "Ознакомиться")</f>
        <v>Ознакомиться</v>
      </c>
      <c r="W510" s="8" t="s">
        <v>232</v>
      </c>
      <c r="X510" s="6"/>
      <c r="Y510" s="6"/>
      <c r="Z510" s="6"/>
      <c r="AA510" s="6" t="s">
        <v>70</v>
      </c>
    </row>
    <row r="511" spans="1:27" s="4" customFormat="1" ht="42" customHeight="1">
      <c r="A511" s="5">
        <v>0</v>
      </c>
      <c r="B511" s="6" t="s">
        <v>3433</v>
      </c>
      <c r="C511" s="13">
        <v>414.9</v>
      </c>
      <c r="D511" s="8" t="s">
        <v>3434</v>
      </c>
      <c r="E511" s="8" t="s">
        <v>3435</v>
      </c>
      <c r="F511" s="8" t="s">
        <v>3436</v>
      </c>
      <c r="G511" s="6" t="s">
        <v>52</v>
      </c>
      <c r="H511" s="6" t="s">
        <v>264</v>
      </c>
      <c r="I511" s="8"/>
      <c r="J511" s="9">
        <v>1</v>
      </c>
      <c r="K511" s="9">
        <v>123</v>
      </c>
      <c r="L511" s="9">
        <v>2019</v>
      </c>
      <c r="M511" s="8" t="s">
        <v>3437</v>
      </c>
      <c r="N511" s="8" t="s">
        <v>41</v>
      </c>
      <c r="O511" s="8" t="s">
        <v>54</v>
      </c>
      <c r="P511" s="6" t="s">
        <v>477</v>
      </c>
      <c r="Q511" s="8" t="s">
        <v>66</v>
      </c>
      <c r="R511" s="10" t="s">
        <v>3438</v>
      </c>
      <c r="S511" s="11"/>
      <c r="T511" s="6"/>
      <c r="U511" s="28" t="str">
        <f>HYPERLINK("https://media.infra-m.ru/1054/1054776/cover/1054776.jpg", "Обложка")</f>
        <v>Обложка</v>
      </c>
      <c r="V511" s="28" t="str">
        <f>HYPERLINK("https://znanium.com/catalog/product/1019406", "Ознакомиться")</f>
        <v>Ознакомиться</v>
      </c>
      <c r="W511" s="8" t="s">
        <v>963</v>
      </c>
      <c r="X511" s="6"/>
      <c r="Y511" s="6"/>
      <c r="Z511" s="6"/>
      <c r="AA511" s="6" t="s">
        <v>320</v>
      </c>
    </row>
    <row r="512" spans="1:27" s="4" customFormat="1" ht="51.95" customHeight="1">
      <c r="A512" s="5">
        <v>0</v>
      </c>
      <c r="B512" s="6" t="s">
        <v>3439</v>
      </c>
      <c r="C512" s="13">
        <v>764.9</v>
      </c>
      <c r="D512" s="8" t="s">
        <v>3440</v>
      </c>
      <c r="E512" s="8" t="s">
        <v>3441</v>
      </c>
      <c r="F512" s="8" t="s">
        <v>3442</v>
      </c>
      <c r="G512" s="6" t="s">
        <v>121</v>
      </c>
      <c r="H512" s="6" t="s">
        <v>38</v>
      </c>
      <c r="I512" s="8" t="s">
        <v>62</v>
      </c>
      <c r="J512" s="9">
        <v>1</v>
      </c>
      <c r="K512" s="9">
        <v>239</v>
      </c>
      <c r="L512" s="9">
        <v>2019</v>
      </c>
      <c r="M512" s="8" t="s">
        <v>3443</v>
      </c>
      <c r="N512" s="8" t="s">
        <v>41</v>
      </c>
      <c r="O512" s="8" t="s">
        <v>54</v>
      </c>
      <c r="P512" s="6" t="s">
        <v>65</v>
      </c>
      <c r="Q512" s="8" t="s">
        <v>66</v>
      </c>
      <c r="R512" s="10" t="s">
        <v>3444</v>
      </c>
      <c r="S512" s="11" t="s">
        <v>3445</v>
      </c>
      <c r="T512" s="6"/>
      <c r="U512" s="28" t="str">
        <f>HYPERLINK("https://media.infra-m.ru/1013/1013454/cover/1013454.jpg", "Обложка")</f>
        <v>Обложка</v>
      </c>
      <c r="V512" s="28" t="str">
        <f>HYPERLINK("https://znanium.com/catalog/product/1013454", "Ознакомиться")</f>
        <v>Ознакомиться</v>
      </c>
      <c r="W512" s="8" t="s">
        <v>1001</v>
      </c>
      <c r="X512" s="6"/>
      <c r="Y512" s="6"/>
      <c r="Z512" s="6"/>
      <c r="AA512" s="6" t="s">
        <v>100</v>
      </c>
    </row>
    <row r="513" spans="1:27" s="4" customFormat="1" ht="51.95" customHeight="1">
      <c r="A513" s="5">
        <v>0</v>
      </c>
      <c r="B513" s="6" t="s">
        <v>3446</v>
      </c>
      <c r="C513" s="13">
        <v>574.9</v>
      </c>
      <c r="D513" s="8" t="s">
        <v>3447</v>
      </c>
      <c r="E513" s="8" t="s">
        <v>3448</v>
      </c>
      <c r="F513" s="8" t="s">
        <v>3275</v>
      </c>
      <c r="G513" s="6" t="s">
        <v>121</v>
      </c>
      <c r="H513" s="6" t="s">
        <v>38</v>
      </c>
      <c r="I513" s="8" t="s">
        <v>83</v>
      </c>
      <c r="J513" s="9">
        <v>1</v>
      </c>
      <c r="K513" s="9">
        <v>184</v>
      </c>
      <c r="L513" s="9">
        <v>2017</v>
      </c>
      <c r="M513" s="8" t="s">
        <v>3449</v>
      </c>
      <c r="N513" s="8" t="s">
        <v>41</v>
      </c>
      <c r="O513" s="8" t="s">
        <v>54</v>
      </c>
      <c r="P513" s="6" t="s">
        <v>65</v>
      </c>
      <c r="Q513" s="8" t="s">
        <v>86</v>
      </c>
      <c r="R513" s="10" t="s">
        <v>3450</v>
      </c>
      <c r="S513" s="11" t="s">
        <v>3451</v>
      </c>
      <c r="T513" s="6"/>
      <c r="U513" s="28" t="str">
        <f>HYPERLINK("https://media.infra-m.ru/0774/0774095/cover/774095.jpg", "Обложка")</f>
        <v>Обложка</v>
      </c>
      <c r="V513" s="28" t="str">
        <f>HYPERLINK("https://znanium.com/catalog/product/1062013", "Ознакомиться")</f>
        <v>Ознакомиться</v>
      </c>
      <c r="W513" s="8" t="s">
        <v>116</v>
      </c>
      <c r="X513" s="6"/>
      <c r="Y513" s="6"/>
      <c r="Z513" s="6"/>
      <c r="AA513" s="6" t="s">
        <v>57</v>
      </c>
    </row>
    <row r="514" spans="1:27" s="4" customFormat="1" ht="51.95" customHeight="1">
      <c r="A514" s="5">
        <v>0</v>
      </c>
      <c r="B514" s="6" t="s">
        <v>3452</v>
      </c>
      <c r="C514" s="13">
        <v>650</v>
      </c>
      <c r="D514" s="8" t="s">
        <v>3453</v>
      </c>
      <c r="E514" s="8" t="s">
        <v>3454</v>
      </c>
      <c r="F514" s="8" t="s">
        <v>3455</v>
      </c>
      <c r="G514" s="6" t="s">
        <v>52</v>
      </c>
      <c r="H514" s="6" t="s">
        <v>38</v>
      </c>
      <c r="I514" s="8" t="s">
        <v>62</v>
      </c>
      <c r="J514" s="9">
        <v>1</v>
      </c>
      <c r="K514" s="9">
        <v>161</v>
      </c>
      <c r="L514" s="9">
        <v>2022</v>
      </c>
      <c r="M514" s="8" t="s">
        <v>3456</v>
      </c>
      <c r="N514" s="8" t="s">
        <v>41</v>
      </c>
      <c r="O514" s="8" t="s">
        <v>64</v>
      </c>
      <c r="P514" s="6" t="s">
        <v>65</v>
      </c>
      <c r="Q514" s="8" t="s">
        <v>66</v>
      </c>
      <c r="R514" s="10" t="s">
        <v>805</v>
      </c>
      <c r="S514" s="11" t="s">
        <v>3457</v>
      </c>
      <c r="T514" s="6"/>
      <c r="U514" s="28" t="str">
        <f>HYPERLINK("https://media.infra-m.ru/1743/1743736/cover/1743736.jpg", "Обложка")</f>
        <v>Обложка</v>
      </c>
      <c r="V514" s="28" t="str">
        <f>HYPERLINK("https://znanium.com/catalog/product/1743736", "Ознакомиться")</f>
        <v>Ознакомиться</v>
      </c>
      <c r="W514" s="8" t="s">
        <v>730</v>
      </c>
      <c r="X514" s="6"/>
      <c r="Y514" s="6"/>
      <c r="Z514" s="6"/>
      <c r="AA514" s="6" t="s">
        <v>144</v>
      </c>
    </row>
    <row r="515" spans="1:27" s="4" customFormat="1" ht="51.95" customHeight="1">
      <c r="A515" s="5">
        <v>0</v>
      </c>
      <c r="B515" s="6" t="s">
        <v>3458</v>
      </c>
      <c r="C515" s="13">
        <v>884.9</v>
      </c>
      <c r="D515" s="8" t="s">
        <v>3459</v>
      </c>
      <c r="E515" s="8" t="s">
        <v>3460</v>
      </c>
      <c r="F515" s="8" t="s">
        <v>3461</v>
      </c>
      <c r="G515" s="6" t="s">
        <v>121</v>
      </c>
      <c r="H515" s="6" t="s">
        <v>38</v>
      </c>
      <c r="I515" s="8" t="s">
        <v>62</v>
      </c>
      <c r="J515" s="9">
        <v>1</v>
      </c>
      <c r="K515" s="9">
        <v>261</v>
      </c>
      <c r="L515" s="9">
        <v>2020</v>
      </c>
      <c r="M515" s="8" t="s">
        <v>3462</v>
      </c>
      <c r="N515" s="8" t="s">
        <v>41</v>
      </c>
      <c r="O515" s="8" t="s">
        <v>97</v>
      </c>
      <c r="P515" s="6" t="s">
        <v>65</v>
      </c>
      <c r="Q515" s="8" t="s">
        <v>66</v>
      </c>
      <c r="R515" s="10" t="s">
        <v>3463</v>
      </c>
      <c r="S515" s="11" t="s">
        <v>3464</v>
      </c>
      <c r="T515" s="6"/>
      <c r="U515" s="28" t="str">
        <f>HYPERLINK("https://media.infra-m.ru/1044/1044530/cover/1044530.jpg", "Обложка")</f>
        <v>Обложка</v>
      </c>
      <c r="V515" s="28" t="str">
        <f>HYPERLINK("https://znanium.com/catalog/product/976504", "Ознакомиться")</f>
        <v>Ознакомиться</v>
      </c>
      <c r="W515" s="8" t="s">
        <v>3465</v>
      </c>
      <c r="X515" s="6"/>
      <c r="Y515" s="6"/>
      <c r="Z515" s="6"/>
      <c r="AA515" s="6" t="s">
        <v>320</v>
      </c>
    </row>
    <row r="516" spans="1:27" s="4" customFormat="1" ht="51.95" customHeight="1">
      <c r="A516" s="5">
        <v>0</v>
      </c>
      <c r="B516" s="6" t="s">
        <v>3466</v>
      </c>
      <c r="C516" s="7">
        <v>1550</v>
      </c>
      <c r="D516" s="8" t="s">
        <v>3467</v>
      </c>
      <c r="E516" s="8" t="s">
        <v>3468</v>
      </c>
      <c r="F516" s="8" t="s">
        <v>3469</v>
      </c>
      <c r="G516" s="6" t="s">
        <v>37</v>
      </c>
      <c r="H516" s="6" t="s">
        <v>38</v>
      </c>
      <c r="I516" s="8" t="s">
        <v>62</v>
      </c>
      <c r="J516" s="9">
        <v>1</v>
      </c>
      <c r="K516" s="9">
        <v>342</v>
      </c>
      <c r="L516" s="9">
        <v>2023</v>
      </c>
      <c r="M516" s="8" t="s">
        <v>3470</v>
      </c>
      <c r="N516" s="8" t="s">
        <v>41</v>
      </c>
      <c r="O516" s="8" t="s">
        <v>64</v>
      </c>
      <c r="P516" s="6" t="s">
        <v>85</v>
      </c>
      <c r="Q516" s="8" t="s">
        <v>66</v>
      </c>
      <c r="R516" s="10" t="s">
        <v>3471</v>
      </c>
      <c r="S516" s="11" t="s">
        <v>3472</v>
      </c>
      <c r="T516" s="6" t="s">
        <v>89</v>
      </c>
      <c r="U516" s="28" t="str">
        <f>HYPERLINK("https://media.infra-m.ru/1840/1840456/cover/1840456.jpg", "Обложка")</f>
        <v>Обложка</v>
      </c>
      <c r="V516" s="28" t="str">
        <f>HYPERLINK("https://znanium.com/catalog/product/1840456", "Ознакомиться")</f>
        <v>Ознакомиться</v>
      </c>
      <c r="W516" s="8" t="s">
        <v>582</v>
      </c>
      <c r="X516" s="6"/>
      <c r="Y516" s="6" t="s">
        <v>30</v>
      </c>
      <c r="Z516" s="6"/>
      <c r="AA516" s="6" t="s">
        <v>144</v>
      </c>
    </row>
    <row r="517" spans="1:27" s="4" customFormat="1" ht="44.1" customHeight="1">
      <c r="A517" s="5">
        <v>0</v>
      </c>
      <c r="B517" s="6" t="s">
        <v>3473</v>
      </c>
      <c r="C517" s="7">
        <v>1000</v>
      </c>
      <c r="D517" s="8" t="s">
        <v>3474</v>
      </c>
      <c r="E517" s="8" t="s">
        <v>3475</v>
      </c>
      <c r="F517" s="8" t="s">
        <v>3476</v>
      </c>
      <c r="G517" s="6" t="s">
        <v>52</v>
      </c>
      <c r="H517" s="6" t="s">
        <v>38</v>
      </c>
      <c r="I517" s="8" t="s">
        <v>39</v>
      </c>
      <c r="J517" s="9">
        <v>1</v>
      </c>
      <c r="K517" s="9">
        <v>220</v>
      </c>
      <c r="L517" s="9">
        <v>2022</v>
      </c>
      <c r="M517" s="8" t="s">
        <v>3477</v>
      </c>
      <c r="N517" s="8" t="s">
        <v>41</v>
      </c>
      <c r="O517" s="8" t="s">
        <v>54</v>
      </c>
      <c r="P517" s="6" t="s">
        <v>43</v>
      </c>
      <c r="Q517" s="8" t="s">
        <v>44</v>
      </c>
      <c r="R517" s="10" t="s">
        <v>3478</v>
      </c>
      <c r="S517" s="11"/>
      <c r="T517" s="6"/>
      <c r="U517" s="28" t="str">
        <f>HYPERLINK("https://media.infra-m.ru/1093/1093109/cover/1093109.jpg", "Обложка")</f>
        <v>Обложка</v>
      </c>
      <c r="V517" s="28" t="str">
        <f>HYPERLINK("https://znanium.com/catalog/product/1093109", "Ознакомиться")</f>
        <v>Ознакомиться</v>
      </c>
      <c r="W517" s="8" t="s">
        <v>3479</v>
      </c>
      <c r="X517" s="6"/>
      <c r="Y517" s="6"/>
      <c r="Z517" s="6"/>
      <c r="AA517" s="6" t="s">
        <v>108</v>
      </c>
    </row>
    <row r="518" spans="1:27" s="4" customFormat="1" ht="51.95" customHeight="1">
      <c r="A518" s="5">
        <v>0</v>
      </c>
      <c r="B518" s="6" t="s">
        <v>3480</v>
      </c>
      <c r="C518" s="13">
        <v>980</v>
      </c>
      <c r="D518" s="8" t="s">
        <v>3481</v>
      </c>
      <c r="E518" s="8" t="s">
        <v>3482</v>
      </c>
      <c r="F518" s="8" t="s">
        <v>3483</v>
      </c>
      <c r="G518" s="6" t="s">
        <v>37</v>
      </c>
      <c r="H518" s="6" t="s">
        <v>38</v>
      </c>
      <c r="I518" s="8" t="s">
        <v>1767</v>
      </c>
      <c r="J518" s="9">
        <v>1</v>
      </c>
      <c r="K518" s="9">
        <v>216</v>
      </c>
      <c r="L518" s="9">
        <v>2023</v>
      </c>
      <c r="M518" s="8" t="s">
        <v>3484</v>
      </c>
      <c r="N518" s="8" t="s">
        <v>41</v>
      </c>
      <c r="O518" s="8" t="s">
        <v>64</v>
      </c>
      <c r="P518" s="6" t="s">
        <v>65</v>
      </c>
      <c r="Q518" s="8" t="s">
        <v>797</v>
      </c>
      <c r="R518" s="10" t="s">
        <v>3485</v>
      </c>
      <c r="S518" s="11" t="s">
        <v>3486</v>
      </c>
      <c r="T518" s="6"/>
      <c r="U518" s="28" t="str">
        <f>HYPERLINK("https://media.infra-m.ru/1925/1925539/cover/1925539.jpg", "Обложка")</f>
        <v>Обложка</v>
      </c>
      <c r="V518" s="12"/>
      <c r="W518" s="8" t="s">
        <v>463</v>
      </c>
      <c r="X518" s="6"/>
      <c r="Y518" s="6"/>
      <c r="Z518" s="6"/>
      <c r="AA518" s="6" t="s">
        <v>91</v>
      </c>
    </row>
    <row r="519" spans="1:27" s="4" customFormat="1" ht="44.1" customHeight="1">
      <c r="A519" s="5">
        <v>0</v>
      </c>
      <c r="B519" s="6" t="s">
        <v>3487</v>
      </c>
      <c r="C519" s="13">
        <v>540</v>
      </c>
      <c r="D519" s="8" t="s">
        <v>3488</v>
      </c>
      <c r="E519" s="8" t="s">
        <v>3489</v>
      </c>
      <c r="F519" s="8" t="s">
        <v>3490</v>
      </c>
      <c r="G519" s="6" t="s">
        <v>52</v>
      </c>
      <c r="H519" s="6" t="s">
        <v>264</v>
      </c>
      <c r="I519" s="8" t="s">
        <v>959</v>
      </c>
      <c r="J519" s="9">
        <v>1</v>
      </c>
      <c r="K519" s="9">
        <v>120</v>
      </c>
      <c r="L519" s="9">
        <v>2023</v>
      </c>
      <c r="M519" s="8" t="s">
        <v>3491</v>
      </c>
      <c r="N519" s="8" t="s">
        <v>41</v>
      </c>
      <c r="O519" s="8" t="s">
        <v>64</v>
      </c>
      <c r="P519" s="6" t="s">
        <v>43</v>
      </c>
      <c r="Q519" s="8" t="s">
        <v>44</v>
      </c>
      <c r="R519" s="10" t="s">
        <v>3492</v>
      </c>
      <c r="S519" s="11"/>
      <c r="T519" s="6"/>
      <c r="U519" s="28" t="str">
        <f>HYPERLINK("https://media.infra-m.ru/2020/2020586/cover/2020586.jpg", "Обложка")</f>
        <v>Обложка</v>
      </c>
      <c r="V519" s="28" t="str">
        <f>HYPERLINK("https://znanium.com/catalog/product/2020586", "Ознакомиться")</f>
        <v>Ознакомиться</v>
      </c>
      <c r="W519" s="8" t="s">
        <v>963</v>
      </c>
      <c r="X519" s="6"/>
      <c r="Y519" s="6"/>
      <c r="Z519" s="6"/>
      <c r="AA519" s="6" t="s">
        <v>91</v>
      </c>
    </row>
    <row r="520" spans="1:27" s="4" customFormat="1" ht="51.95" customHeight="1">
      <c r="A520" s="5">
        <v>0</v>
      </c>
      <c r="B520" s="6" t="s">
        <v>3493</v>
      </c>
      <c r="C520" s="7">
        <v>1194.9000000000001</v>
      </c>
      <c r="D520" s="8" t="s">
        <v>3494</v>
      </c>
      <c r="E520" s="8" t="s">
        <v>3495</v>
      </c>
      <c r="F520" s="8" t="s">
        <v>3496</v>
      </c>
      <c r="G520" s="6" t="s">
        <v>121</v>
      </c>
      <c r="H520" s="6" t="s">
        <v>554</v>
      </c>
      <c r="I520" s="8" t="s">
        <v>130</v>
      </c>
      <c r="J520" s="9">
        <v>1</v>
      </c>
      <c r="K520" s="9">
        <v>635</v>
      </c>
      <c r="L520" s="9">
        <v>2022</v>
      </c>
      <c r="M520" s="8" t="s">
        <v>3497</v>
      </c>
      <c r="N520" s="8" t="s">
        <v>41</v>
      </c>
      <c r="O520" s="8" t="s">
        <v>54</v>
      </c>
      <c r="P520" s="6" t="s">
        <v>65</v>
      </c>
      <c r="Q520" s="8" t="s">
        <v>66</v>
      </c>
      <c r="R520" s="10" t="s">
        <v>3498</v>
      </c>
      <c r="S520" s="11" t="s">
        <v>3499</v>
      </c>
      <c r="T520" s="6"/>
      <c r="U520" s="28" t="str">
        <f>HYPERLINK("https://media.infra-m.ru/0519/0519576/cover/519576.jpg", "Обложка")</f>
        <v>Обложка</v>
      </c>
      <c r="V520" s="28" t="str">
        <f>HYPERLINK("https://znanium.com/catalog/product/235510", "Ознакомиться")</f>
        <v>Ознакомиться</v>
      </c>
      <c r="W520" s="8" t="s">
        <v>1971</v>
      </c>
      <c r="X520" s="6"/>
      <c r="Y520" s="6"/>
      <c r="Z520" s="6"/>
      <c r="AA520" s="6" t="s">
        <v>47</v>
      </c>
    </row>
    <row r="521" spans="1:27" s="4" customFormat="1" ht="51.95" customHeight="1">
      <c r="A521" s="5">
        <v>0</v>
      </c>
      <c r="B521" s="6" t="s">
        <v>3500</v>
      </c>
      <c r="C521" s="7">
        <v>1934.9</v>
      </c>
      <c r="D521" s="8" t="s">
        <v>3501</v>
      </c>
      <c r="E521" s="8" t="s">
        <v>3502</v>
      </c>
      <c r="F521" s="8" t="s">
        <v>3503</v>
      </c>
      <c r="G521" s="6" t="s">
        <v>121</v>
      </c>
      <c r="H521" s="6" t="s">
        <v>38</v>
      </c>
      <c r="I521" s="8" t="s">
        <v>130</v>
      </c>
      <c r="J521" s="9">
        <v>1</v>
      </c>
      <c r="K521" s="9">
        <v>430</v>
      </c>
      <c r="L521" s="9">
        <v>2023</v>
      </c>
      <c r="M521" s="8" t="s">
        <v>3504</v>
      </c>
      <c r="N521" s="8" t="s">
        <v>41</v>
      </c>
      <c r="O521" s="8" t="s">
        <v>54</v>
      </c>
      <c r="P521" s="6" t="s">
        <v>65</v>
      </c>
      <c r="Q521" s="8" t="s">
        <v>66</v>
      </c>
      <c r="R521" s="10" t="s">
        <v>3505</v>
      </c>
      <c r="S521" s="11"/>
      <c r="T521" s="6"/>
      <c r="U521" s="28" t="str">
        <f>HYPERLINK("https://media.infra-m.ru/1981/1981609/cover/1981609.jpg", "Обложка")</f>
        <v>Обложка</v>
      </c>
      <c r="V521" s="28" t="str">
        <f>HYPERLINK("https://znanium.com/catalog/product/1210072", "Ознакомиться")</f>
        <v>Ознакомиться</v>
      </c>
      <c r="W521" s="8" t="s">
        <v>116</v>
      </c>
      <c r="X521" s="6"/>
      <c r="Y521" s="6"/>
      <c r="Z521" s="6"/>
      <c r="AA521" s="6" t="s">
        <v>100</v>
      </c>
    </row>
    <row r="522" spans="1:27" s="4" customFormat="1" ht="51.95" customHeight="1">
      <c r="A522" s="5">
        <v>0</v>
      </c>
      <c r="B522" s="6" t="s">
        <v>3506</v>
      </c>
      <c r="C522" s="13">
        <v>849.9</v>
      </c>
      <c r="D522" s="8" t="s">
        <v>3507</v>
      </c>
      <c r="E522" s="8" t="s">
        <v>3508</v>
      </c>
      <c r="F522" s="8" t="s">
        <v>3509</v>
      </c>
      <c r="G522" s="6" t="s">
        <v>121</v>
      </c>
      <c r="H522" s="6" t="s">
        <v>317</v>
      </c>
      <c r="I522" s="8"/>
      <c r="J522" s="9">
        <v>1</v>
      </c>
      <c r="K522" s="9">
        <v>368</v>
      </c>
      <c r="L522" s="9">
        <v>2017</v>
      </c>
      <c r="M522" s="8" t="s">
        <v>3510</v>
      </c>
      <c r="N522" s="8" t="s">
        <v>41</v>
      </c>
      <c r="O522" s="8" t="s">
        <v>54</v>
      </c>
      <c r="P522" s="6" t="s">
        <v>85</v>
      </c>
      <c r="Q522" s="8" t="s">
        <v>66</v>
      </c>
      <c r="R522" s="10" t="s">
        <v>3511</v>
      </c>
      <c r="S522" s="11" t="s">
        <v>3512</v>
      </c>
      <c r="T522" s="6"/>
      <c r="U522" s="28" t="str">
        <f>HYPERLINK("https://media.infra-m.ru/0791/0791248/cover/791248.jpg", "Обложка")</f>
        <v>Обложка</v>
      </c>
      <c r="V522" s="28" t="str">
        <f>HYPERLINK("https://znanium.com/catalog/product/2081677", "Ознакомиться")</f>
        <v>Ознакомиться</v>
      </c>
      <c r="W522" s="8" t="s">
        <v>3513</v>
      </c>
      <c r="X522" s="6"/>
      <c r="Y522" s="6"/>
      <c r="Z522" s="6"/>
      <c r="AA522" s="6" t="s">
        <v>333</v>
      </c>
    </row>
    <row r="523" spans="1:27" s="4" customFormat="1" ht="51.95" customHeight="1">
      <c r="A523" s="5">
        <v>0</v>
      </c>
      <c r="B523" s="6" t="s">
        <v>3514</v>
      </c>
      <c r="C523" s="7">
        <v>1690</v>
      </c>
      <c r="D523" s="8" t="s">
        <v>3515</v>
      </c>
      <c r="E523" s="8" t="s">
        <v>3516</v>
      </c>
      <c r="F523" s="8" t="s">
        <v>3509</v>
      </c>
      <c r="G523" s="6" t="s">
        <v>37</v>
      </c>
      <c r="H523" s="6" t="s">
        <v>317</v>
      </c>
      <c r="I523" s="8" t="s">
        <v>130</v>
      </c>
      <c r="J523" s="9">
        <v>1</v>
      </c>
      <c r="K523" s="9">
        <v>368</v>
      </c>
      <c r="L523" s="9">
        <v>2024</v>
      </c>
      <c r="M523" s="8" t="s">
        <v>3517</v>
      </c>
      <c r="N523" s="8" t="s">
        <v>41</v>
      </c>
      <c r="O523" s="8" t="s">
        <v>54</v>
      </c>
      <c r="P523" s="6" t="s">
        <v>85</v>
      </c>
      <c r="Q523" s="8" t="s">
        <v>66</v>
      </c>
      <c r="R523" s="10" t="s">
        <v>3511</v>
      </c>
      <c r="S523" s="11" t="s">
        <v>3512</v>
      </c>
      <c r="T523" s="6"/>
      <c r="U523" s="28" t="str">
        <f>HYPERLINK("https://media.infra-m.ru/2081/2081677/cover/2081677.jpg", "Обложка")</f>
        <v>Обложка</v>
      </c>
      <c r="V523" s="28" t="str">
        <f>HYPERLINK("https://znanium.com/catalog/product/2081677", "Ознакомиться")</f>
        <v>Ознакомиться</v>
      </c>
      <c r="W523" s="8" t="s">
        <v>3513</v>
      </c>
      <c r="X523" s="6"/>
      <c r="Y523" s="6"/>
      <c r="Z523" s="6"/>
      <c r="AA523" s="6" t="s">
        <v>3518</v>
      </c>
    </row>
    <row r="524" spans="1:27" s="4" customFormat="1" ht="51.95" customHeight="1">
      <c r="A524" s="5">
        <v>0</v>
      </c>
      <c r="B524" s="6" t="s">
        <v>3519</v>
      </c>
      <c r="C524" s="7">
        <v>1624</v>
      </c>
      <c r="D524" s="8" t="s">
        <v>3520</v>
      </c>
      <c r="E524" s="8" t="s">
        <v>3521</v>
      </c>
      <c r="F524" s="8" t="s">
        <v>3522</v>
      </c>
      <c r="G524" s="6" t="s">
        <v>37</v>
      </c>
      <c r="H524" s="6" t="s">
        <v>264</v>
      </c>
      <c r="I524" s="8" t="s">
        <v>62</v>
      </c>
      <c r="J524" s="9">
        <v>1</v>
      </c>
      <c r="K524" s="9">
        <v>359</v>
      </c>
      <c r="L524" s="9">
        <v>2023</v>
      </c>
      <c r="M524" s="8" t="s">
        <v>3523</v>
      </c>
      <c r="N524" s="8" t="s">
        <v>41</v>
      </c>
      <c r="O524" s="8" t="s">
        <v>54</v>
      </c>
      <c r="P524" s="6" t="s">
        <v>85</v>
      </c>
      <c r="Q524" s="8" t="s">
        <v>66</v>
      </c>
      <c r="R524" s="10" t="s">
        <v>3524</v>
      </c>
      <c r="S524" s="11" t="s">
        <v>3525</v>
      </c>
      <c r="T524" s="6"/>
      <c r="U524" s="28" t="str">
        <f>HYPERLINK("https://media.infra-m.ru/2006/2006018/cover/2006018.jpg", "Обложка")</f>
        <v>Обложка</v>
      </c>
      <c r="V524" s="28" t="str">
        <f>HYPERLINK("https://znanium.com/catalog/product/1039251", "Ознакомиться")</f>
        <v>Ознакомиться</v>
      </c>
      <c r="W524" s="8" t="s">
        <v>3526</v>
      </c>
      <c r="X524" s="6"/>
      <c r="Y524" s="6"/>
      <c r="Z524" s="6"/>
      <c r="AA524" s="6" t="s">
        <v>91</v>
      </c>
    </row>
    <row r="525" spans="1:27" s="4" customFormat="1" ht="51.95" customHeight="1">
      <c r="A525" s="5">
        <v>0</v>
      </c>
      <c r="B525" s="6" t="s">
        <v>3527</v>
      </c>
      <c r="C525" s="7">
        <v>1214.9000000000001</v>
      </c>
      <c r="D525" s="8" t="s">
        <v>3528</v>
      </c>
      <c r="E525" s="8" t="s">
        <v>3521</v>
      </c>
      <c r="F525" s="8" t="s">
        <v>3529</v>
      </c>
      <c r="G525" s="6" t="s">
        <v>37</v>
      </c>
      <c r="H525" s="6" t="s">
        <v>38</v>
      </c>
      <c r="I525" s="8" t="s">
        <v>62</v>
      </c>
      <c r="J525" s="9">
        <v>1</v>
      </c>
      <c r="K525" s="9">
        <v>271</v>
      </c>
      <c r="L525" s="9">
        <v>2023</v>
      </c>
      <c r="M525" s="8" t="s">
        <v>3530</v>
      </c>
      <c r="N525" s="8" t="s">
        <v>41</v>
      </c>
      <c r="O525" s="8" t="s">
        <v>54</v>
      </c>
      <c r="P525" s="6" t="s">
        <v>65</v>
      </c>
      <c r="Q525" s="8" t="s">
        <v>66</v>
      </c>
      <c r="R525" s="10" t="s">
        <v>3277</v>
      </c>
      <c r="S525" s="11" t="s">
        <v>3531</v>
      </c>
      <c r="T525" s="6"/>
      <c r="U525" s="28" t="str">
        <f>HYPERLINK("https://media.infra-m.ru/1903/1903567/cover/1903567.jpg", "Обложка")</f>
        <v>Обложка</v>
      </c>
      <c r="V525" s="28" t="str">
        <f>HYPERLINK("https://znanium.com/catalog/product/1210726", "Ознакомиться")</f>
        <v>Ознакомиться</v>
      </c>
      <c r="W525" s="8" t="s">
        <v>620</v>
      </c>
      <c r="X525" s="6"/>
      <c r="Y525" s="6"/>
      <c r="Z525" s="6"/>
      <c r="AA525" s="6" t="s">
        <v>57</v>
      </c>
    </row>
    <row r="526" spans="1:27" s="4" customFormat="1" ht="51.95" customHeight="1">
      <c r="A526" s="5">
        <v>0</v>
      </c>
      <c r="B526" s="6" t="s">
        <v>3532</v>
      </c>
      <c r="C526" s="7">
        <v>1594</v>
      </c>
      <c r="D526" s="8" t="s">
        <v>3533</v>
      </c>
      <c r="E526" s="8" t="s">
        <v>3534</v>
      </c>
      <c r="F526" s="8" t="s">
        <v>3535</v>
      </c>
      <c r="G526" s="6" t="s">
        <v>121</v>
      </c>
      <c r="H526" s="6" t="s">
        <v>122</v>
      </c>
      <c r="I526" s="8" t="s">
        <v>62</v>
      </c>
      <c r="J526" s="9">
        <v>1</v>
      </c>
      <c r="K526" s="9">
        <v>335</v>
      </c>
      <c r="L526" s="9">
        <v>2024</v>
      </c>
      <c r="M526" s="8" t="s">
        <v>3536</v>
      </c>
      <c r="N526" s="8" t="s">
        <v>41</v>
      </c>
      <c r="O526" s="8" t="s">
        <v>54</v>
      </c>
      <c r="P526" s="6" t="s">
        <v>65</v>
      </c>
      <c r="Q526" s="8" t="s">
        <v>66</v>
      </c>
      <c r="R526" s="10" t="s">
        <v>3537</v>
      </c>
      <c r="S526" s="11" t="s">
        <v>3538</v>
      </c>
      <c r="T526" s="6"/>
      <c r="U526" s="28" t="str">
        <f>HYPERLINK("https://media.infra-m.ru/2116/2116745/cover/2116745.jpg", "Обложка")</f>
        <v>Обложка</v>
      </c>
      <c r="V526" s="28" t="str">
        <f>HYPERLINK("https://znanium.com/catalog/product/2109603", "Ознакомиться")</f>
        <v>Ознакомиться</v>
      </c>
      <c r="W526" s="8" t="s">
        <v>90</v>
      </c>
      <c r="X526" s="6"/>
      <c r="Y526" s="6"/>
      <c r="Z526" s="6"/>
      <c r="AA526" s="6" t="s">
        <v>464</v>
      </c>
    </row>
    <row r="527" spans="1:27" s="4" customFormat="1" ht="42" customHeight="1">
      <c r="A527" s="5">
        <v>0</v>
      </c>
      <c r="B527" s="6" t="s">
        <v>3539</v>
      </c>
      <c r="C527" s="13">
        <v>634.9</v>
      </c>
      <c r="D527" s="8" t="s">
        <v>3540</v>
      </c>
      <c r="E527" s="8" t="s">
        <v>3541</v>
      </c>
      <c r="F527" s="8" t="s">
        <v>3542</v>
      </c>
      <c r="G527" s="6" t="s">
        <v>121</v>
      </c>
      <c r="H527" s="6" t="s">
        <v>38</v>
      </c>
      <c r="I527" s="8" t="s">
        <v>1102</v>
      </c>
      <c r="J527" s="9">
        <v>1</v>
      </c>
      <c r="K527" s="9">
        <v>181</v>
      </c>
      <c r="L527" s="9">
        <v>2020</v>
      </c>
      <c r="M527" s="8" t="s">
        <v>3543</v>
      </c>
      <c r="N527" s="8" t="s">
        <v>41</v>
      </c>
      <c r="O527" s="8" t="s">
        <v>54</v>
      </c>
      <c r="P527" s="6" t="s">
        <v>43</v>
      </c>
      <c r="Q527" s="8" t="s">
        <v>44</v>
      </c>
      <c r="R527" s="10"/>
      <c r="S527" s="11"/>
      <c r="T527" s="6"/>
      <c r="U527" s="28" t="str">
        <f>HYPERLINK("https://media.infra-m.ru/1044/1044617/cover/1044617.jpg", "Обложка")</f>
        <v>Обложка</v>
      </c>
      <c r="V527" s="12"/>
      <c r="W527" s="8" t="s">
        <v>463</v>
      </c>
      <c r="X527" s="6"/>
      <c r="Y527" s="6"/>
      <c r="Z527" s="6"/>
      <c r="AA527" s="6" t="s">
        <v>91</v>
      </c>
    </row>
    <row r="528" spans="1:27" s="4" customFormat="1" ht="51.95" customHeight="1">
      <c r="A528" s="5">
        <v>0</v>
      </c>
      <c r="B528" s="6" t="s">
        <v>3544</v>
      </c>
      <c r="C528" s="7">
        <v>1140</v>
      </c>
      <c r="D528" s="8" t="s">
        <v>3545</v>
      </c>
      <c r="E528" s="8" t="s">
        <v>3546</v>
      </c>
      <c r="F528" s="8" t="s">
        <v>3547</v>
      </c>
      <c r="G528" s="6" t="s">
        <v>37</v>
      </c>
      <c r="H528" s="6" t="s">
        <v>38</v>
      </c>
      <c r="I528" s="8" t="s">
        <v>62</v>
      </c>
      <c r="J528" s="9">
        <v>1</v>
      </c>
      <c r="K528" s="9">
        <v>299</v>
      </c>
      <c r="L528" s="9">
        <v>2022</v>
      </c>
      <c r="M528" s="8" t="s">
        <v>3548</v>
      </c>
      <c r="N528" s="8" t="s">
        <v>41</v>
      </c>
      <c r="O528" s="8" t="s">
        <v>54</v>
      </c>
      <c r="P528" s="6" t="s">
        <v>65</v>
      </c>
      <c r="Q528" s="8" t="s">
        <v>66</v>
      </c>
      <c r="R528" s="10" t="s">
        <v>3549</v>
      </c>
      <c r="S528" s="11" t="s">
        <v>665</v>
      </c>
      <c r="T528" s="6"/>
      <c r="U528" s="28" t="str">
        <f>HYPERLINK("https://media.infra-m.ru/1862/1862599/cover/1862599.jpg", "Обложка")</f>
        <v>Обложка</v>
      </c>
      <c r="V528" s="28" t="str">
        <f>HYPERLINK("https://znanium.com/catalog/product/1862599", "Ознакомиться")</f>
        <v>Ознакомиться</v>
      </c>
      <c r="W528" s="8" t="s">
        <v>3550</v>
      </c>
      <c r="X528" s="6"/>
      <c r="Y528" s="6"/>
      <c r="Z528" s="6"/>
      <c r="AA528" s="6" t="s">
        <v>70</v>
      </c>
    </row>
    <row r="529" spans="1:27" s="4" customFormat="1" ht="51.95" customHeight="1">
      <c r="A529" s="5">
        <v>0</v>
      </c>
      <c r="B529" s="6" t="s">
        <v>3551</v>
      </c>
      <c r="C529" s="7">
        <v>1464</v>
      </c>
      <c r="D529" s="8" t="s">
        <v>3552</v>
      </c>
      <c r="E529" s="8" t="s">
        <v>3553</v>
      </c>
      <c r="F529" s="8" t="s">
        <v>3554</v>
      </c>
      <c r="G529" s="6" t="s">
        <v>121</v>
      </c>
      <c r="H529" s="6" t="s">
        <v>554</v>
      </c>
      <c r="I529" s="8" t="s">
        <v>130</v>
      </c>
      <c r="J529" s="9">
        <v>1</v>
      </c>
      <c r="K529" s="9">
        <v>318</v>
      </c>
      <c r="L529" s="9">
        <v>2024</v>
      </c>
      <c r="M529" s="8" t="s">
        <v>3555</v>
      </c>
      <c r="N529" s="8" t="s">
        <v>41</v>
      </c>
      <c r="O529" s="8" t="s">
        <v>54</v>
      </c>
      <c r="P529" s="6" t="s">
        <v>65</v>
      </c>
      <c r="Q529" s="8" t="s">
        <v>66</v>
      </c>
      <c r="R529" s="10" t="s">
        <v>3556</v>
      </c>
      <c r="S529" s="11" t="s">
        <v>3557</v>
      </c>
      <c r="T529" s="6"/>
      <c r="U529" s="28" t="str">
        <f>HYPERLINK("https://media.infra-m.ru/2082/2082861/cover/2082861.jpg", "Обложка")</f>
        <v>Обложка</v>
      </c>
      <c r="V529" s="28" t="str">
        <f>HYPERLINK("https://znanium.com/catalog/product/968714", "Ознакомиться")</f>
        <v>Ознакомиться</v>
      </c>
      <c r="W529" s="8" t="s">
        <v>784</v>
      </c>
      <c r="X529" s="6"/>
      <c r="Y529" s="6"/>
      <c r="Z529" s="6"/>
      <c r="AA529" s="6" t="s">
        <v>47</v>
      </c>
    </row>
    <row r="530" spans="1:27" s="4" customFormat="1" ht="51.95" customHeight="1">
      <c r="A530" s="5">
        <v>0</v>
      </c>
      <c r="B530" s="6" t="s">
        <v>3558</v>
      </c>
      <c r="C530" s="13">
        <v>560</v>
      </c>
      <c r="D530" s="8" t="s">
        <v>3559</v>
      </c>
      <c r="E530" s="8" t="s">
        <v>3560</v>
      </c>
      <c r="F530" s="8" t="s">
        <v>3561</v>
      </c>
      <c r="G530" s="6" t="s">
        <v>52</v>
      </c>
      <c r="H530" s="6" t="s">
        <v>122</v>
      </c>
      <c r="I530" s="8" t="s">
        <v>490</v>
      </c>
      <c r="J530" s="9">
        <v>1</v>
      </c>
      <c r="K530" s="9">
        <v>186</v>
      </c>
      <c r="L530" s="9">
        <v>2023</v>
      </c>
      <c r="M530" s="8" t="s">
        <v>3562</v>
      </c>
      <c r="N530" s="8" t="s">
        <v>41</v>
      </c>
      <c r="O530" s="8" t="s">
        <v>54</v>
      </c>
      <c r="P530" s="6" t="s">
        <v>65</v>
      </c>
      <c r="Q530" s="8" t="s">
        <v>66</v>
      </c>
      <c r="R530" s="10" t="s">
        <v>3563</v>
      </c>
      <c r="S530" s="11"/>
      <c r="T530" s="6"/>
      <c r="U530" s="28" t="str">
        <f>HYPERLINK("https://media.infra-m.ru/2000/2000026/cover/2000026.jpg", "Обложка")</f>
        <v>Обложка</v>
      </c>
      <c r="V530" s="28" t="str">
        <f>HYPERLINK("https://znanium.com/catalog/product/2000026", "Ознакомиться")</f>
        <v>Ознакомиться</v>
      </c>
      <c r="W530" s="8" t="s">
        <v>238</v>
      </c>
      <c r="X530" s="6"/>
      <c r="Y530" s="6"/>
      <c r="Z530" s="6"/>
      <c r="AA530" s="6" t="s">
        <v>445</v>
      </c>
    </row>
    <row r="531" spans="1:27" s="4" customFormat="1" ht="51.95" customHeight="1">
      <c r="A531" s="5">
        <v>0</v>
      </c>
      <c r="B531" s="6" t="s">
        <v>3564</v>
      </c>
      <c r="C531" s="7">
        <v>1910</v>
      </c>
      <c r="D531" s="8" t="s">
        <v>3565</v>
      </c>
      <c r="E531" s="8" t="s">
        <v>3566</v>
      </c>
      <c r="F531" s="8" t="s">
        <v>3567</v>
      </c>
      <c r="G531" s="6" t="s">
        <v>121</v>
      </c>
      <c r="H531" s="6" t="s">
        <v>38</v>
      </c>
      <c r="I531" s="8" t="s">
        <v>1278</v>
      </c>
      <c r="J531" s="9">
        <v>1</v>
      </c>
      <c r="K531" s="9">
        <v>412</v>
      </c>
      <c r="L531" s="9">
        <v>2023</v>
      </c>
      <c r="M531" s="8" t="s">
        <v>3568</v>
      </c>
      <c r="N531" s="8" t="s">
        <v>41</v>
      </c>
      <c r="O531" s="8" t="s">
        <v>54</v>
      </c>
      <c r="P531" s="6" t="s">
        <v>85</v>
      </c>
      <c r="Q531" s="8" t="s">
        <v>66</v>
      </c>
      <c r="R531" s="10" t="s">
        <v>3569</v>
      </c>
      <c r="S531" s="11"/>
      <c r="T531" s="6" t="s">
        <v>89</v>
      </c>
      <c r="U531" s="28" t="str">
        <f>HYPERLINK("https://media.infra-m.ru/1898/1898404/cover/1898404.jpg", "Обложка")</f>
        <v>Обложка</v>
      </c>
      <c r="V531" s="28" t="str">
        <f>HYPERLINK("https://znanium.com/catalog/product/1898404", "Ознакомиться")</f>
        <v>Ознакомиться</v>
      </c>
      <c r="W531" s="8" t="s">
        <v>1001</v>
      </c>
      <c r="X531" s="6" t="s">
        <v>879</v>
      </c>
      <c r="Y531" s="6"/>
      <c r="Z531" s="6"/>
      <c r="AA531" s="6" t="s">
        <v>574</v>
      </c>
    </row>
    <row r="532" spans="1:27" s="4" customFormat="1" ht="51.95" customHeight="1">
      <c r="A532" s="5">
        <v>0</v>
      </c>
      <c r="B532" s="6" t="s">
        <v>3570</v>
      </c>
      <c r="C532" s="7">
        <v>1130</v>
      </c>
      <c r="D532" s="8" t="s">
        <v>3571</v>
      </c>
      <c r="E532" s="8" t="s">
        <v>3560</v>
      </c>
      <c r="F532" s="8" t="s">
        <v>3572</v>
      </c>
      <c r="G532" s="6" t="s">
        <v>37</v>
      </c>
      <c r="H532" s="6" t="s">
        <v>38</v>
      </c>
      <c r="I532" s="8" t="s">
        <v>62</v>
      </c>
      <c r="J532" s="9">
        <v>1</v>
      </c>
      <c r="K532" s="9">
        <v>250</v>
      </c>
      <c r="L532" s="9">
        <v>2023</v>
      </c>
      <c r="M532" s="8" t="s">
        <v>3573</v>
      </c>
      <c r="N532" s="8" t="s">
        <v>41</v>
      </c>
      <c r="O532" s="8" t="s">
        <v>54</v>
      </c>
      <c r="P532" s="6" t="s">
        <v>85</v>
      </c>
      <c r="Q532" s="8" t="s">
        <v>66</v>
      </c>
      <c r="R532" s="10" t="s">
        <v>3574</v>
      </c>
      <c r="S532" s="11" t="s">
        <v>3575</v>
      </c>
      <c r="T532" s="6"/>
      <c r="U532" s="28" t="str">
        <f>HYPERLINK("https://media.infra-m.ru/1920/1920312/cover/1920312.jpg", "Обложка")</f>
        <v>Обложка</v>
      </c>
      <c r="V532" s="28" t="str">
        <f>HYPERLINK("https://znanium.com/catalog/product/1920312", "Ознакомиться")</f>
        <v>Ознакомиться</v>
      </c>
      <c r="W532" s="8" t="s">
        <v>339</v>
      </c>
      <c r="X532" s="6"/>
      <c r="Y532" s="6"/>
      <c r="Z532" s="6"/>
      <c r="AA532" s="6" t="s">
        <v>193</v>
      </c>
    </row>
    <row r="533" spans="1:27" s="4" customFormat="1" ht="51.95" customHeight="1">
      <c r="A533" s="5">
        <v>0</v>
      </c>
      <c r="B533" s="6" t="s">
        <v>3576</v>
      </c>
      <c r="C533" s="7">
        <v>1160</v>
      </c>
      <c r="D533" s="8" t="s">
        <v>3577</v>
      </c>
      <c r="E533" s="8" t="s">
        <v>3560</v>
      </c>
      <c r="F533" s="8" t="s">
        <v>3572</v>
      </c>
      <c r="G533" s="6" t="s">
        <v>37</v>
      </c>
      <c r="H533" s="6" t="s">
        <v>38</v>
      </c>
      <c r="I533" s="8" t="s">
        <v>187</v>
      </c>
      <c r="J533" s="9">
        <v>1</v>
      </c>
      <c r="K533" s="9">
        <v>250</v>
      </c>
      <c r="L533" s="9">
        <v>2024</v>
      </c>
      <c r="M533" s="8" t="s">
        <v>3578</v>
      </c>
      <c r="N533" s="8" t="s">
        <v>41</v>
      </c>
      <c r="O533" s="8" t="s">
        <v>54</v>
      </c>
      <c r="P533" s="6" t="s">
        <v>85</v>
      </c>
      <c r="Q533" s="8" t="s">
        <v>189</v>
      </c>
      <c r="R533" s="10" t="s">
        <v>3331</v>
      </c>
      <c r="S533" s="11" t="s">
        <v>3579</v>
      </c>
      <c r="T533" s="6"/>
      <c r="U533" s="28" t="str">
        <f>HYPERLINK("https://media.infra-m.ru/2078/2078388/cover/2078388.jpg", "Обложка")</f>
        <v>Обложка</v>
      </c>
      <c r="V533" s="28" t="str">
        <f>HYPERLINK("https://znanium.com/catalog/product/2078388", "Ознакомиться")</f>
        <v>Ознакомиться</v>
      </c>
      <c r="W533" s="8" t="s">
        <v>339</v>
      </c>
      <c r="X533" s="6"/>
      <c r="Y533" s="6"/>
      <c r="Z533" s="6" t="s">
        <v>192</v>
      </c>
      <c r="AA533" s="6" t="s">
        <v>108</v>
      </c>
    </row>
    <row r="534" spans="1:27" s="4" customFormat="1" ht="51.95" customHeight="1">
      <c r="A534" s="5">
        <v>0</v>
      </c>
      <c r="B534" s="6" t="s">
        <v>3580</v>
      </c>
      <c r="C534" s="7">
        <v>1210</v>
      </c>
      <c r="D534" s="8" t="s">
        <v>3581</v>
      </c>
      <c r="E534" s="8" t="s">
        <v>3582</v>
      </c>
      <c r="F534" s="8" t="s">
        <v>3583</v>
      </c>
      <c r="G534" s="6" t="s">
        <v>37</v>
      </c>
      <c r="H534" s="6" t="s">
        <v>38</v>
      </c>
      <c r="I534" s="8" t="s">
        <v>62</v>
      </c>
      <c r="J534" s="9">
        <v>1</v>
      </c>
      <c r="K534" s="9">
        <v>334</v>
      </c>
      <c r="L534" s="9">
        <v>2021</v>
      </c>
      <c r="M534" s="8" t="s">
        <v>3584</v>
      </c>
      <c r="N534" s="8" t="s">
        <v>41</v>
      </c>
      <c r="O534" s="8" t="s">
        <v>54</v>
      </c>
      <c r="P534" s="6" t="s">
        <v>65</v>
      </c>
      <c r="Q534" s="8" t="s">
        <v>66</v>
      </c>
      <c r="R534" s="10" t="s">
        <v>3585</v>
      </c>
      <c r="S534" s="11" t="s">
        <v>3586</v>
      </c>
      <c r="T534" s="6"/>
      <c r="U534" s="28" t="str">
        <f>HYPERLINK("https://media.infra-m.ru/1065/1065828/cover/1065828.jpg", "Обложка")</f>
        <v>Обложка</v>
      </c>
      <c r="V534" s="28" t="str">
        <f>HYPERLINK("https://znanium.com/catalog/product/1930696", "Ознакомиться")</f>
        <v>Ознакомиться</v>
      </c>
      <c r="W534" s="8" t="s">
        <v>3587</v>
      </c>
      <c r="X534" s="6"/>
      <c r="Y534" s="6"/>
      <c r="Z534" s="6"/>
      <c r="AA534" s="6" t="s">
        <v>1268</v>
      </c>
    </row>
    <row r="535" spans="1:27" s="4" customFormat="1" ht="51.95" customHeight="1">
      <c r="A535" s="5">
        <v>0</v>
      </c>
      <c r="B535" s="6" t="s">
        <v>3588</v>
      </c>
      <c r="C535" s="7">
        <v>1980</v>
      </c>
      <c r="D535" s="8" t="s">
        <v>3589</v>
      </c>
      <c r="E535" s="8" t="s">
        <v>3590</v>
      </c>
      <c r="F535" s="8" t="s">
        <v>3583</v>
      </c>
      <c r="G535" s="6" t="s">
        <v>37</v>
      </c>
      <c r="H535" s="6" t="s">
        <v>38</v>
      </c>
      <c r="I535" s="8" t="s">
        <v>62</v>
      </c>
      <c r="J535" s="9">
        <v>1</v>
      </c>
      <c r="K535" s="9">
        <v>426</v>
      </c>
      <c r="L535" s="9">
        <v>2023</v>
      </c>
      <c r="M535" s="8" t="s">
        <v>3591</v>
      </c>
      <c r="N535" s="8" t="s">
        <v>41</v>
      </c>
      <c r="O535" s="8" t="s">
        <v>54</v>
      </c>
      <c r="P535" s="6" t="s">
        <v>65</v>
      </c>
      <c r="Q535" s="8" t="s">
        <v>66</v>
      </c>
      <c r="R535" s="10" t="s">
        <v>3585</v>
      </c>
      <c r="S535" s="11" t="s">
        <v>3592</v>
      </c>
      <c r="T535" s="6"/>
      <c r="U535" s="28" t="str">
        <f>HYPERLINK("https://media.infra-m.ru/1930/1930696/cover/1930696.jpg", "Обложка")</f>
        <v>Обложка</v>
      </c>
      <c r="V535" s="28" t="str">
        <f>HYPERLINK("https://znanium.com/catalog/product/1930696", "Ознакомиться")</f>
        <v>Ознакомиться</v>
      </c>
      <c r="W535" s="8" t="s">
        <v>3587</v>
      </c>
      <c r="X535" s="6"/>
      <c r="Y535" s="6"/>
      <c r="Z535" s="6"/>
      <c r="AA535" s="6" t="s">
        <v>3593</v>
      </c>
    </row>
    <row r="536" spans="1:27" s="4" customFormat="1" ht="51.95" customHeight="1">
      <c r="A536" s="5">
        <v>0</v>
      </c>
      <c r="B536" s="6" t="s">
        <v>3594</v>
      </c>
      <c r="C536" s="7">
        <v>1330</v>
      </c>
      <c r="D536" s="8" t="s">
        <v>3595</v>
      </c>
      <c r="E536" s="8" t="s">
        <v>3582</v>
      </c>
      <c r="F536" s="8" t="s">
        <v>3596</v>
      </c>
      <c r="G536" s="6" t="s">
        <v>37</v>
      </c>
      <c r="H536" s="6" t="s">
        <v>38</v>
      </c>
      <c r="I536" s="8" t="s">
        <v>130</v>
      </c>
      <c r="J536" s="9">
        <v>1</v>
      </c>
      <c r="K536" s="9">
        <v>289</v>
      </c>
      <c r="L536" s="9">
        <v>2024</v>
      </c>
      <c r="M536" s="8" t="s">
        <v>3597</v>
      </c>
      <c r="N536" s="8" t="s">
        <v>41</v>
      </c>
      <c r="O536" s="8" t="s">
        <v>54</v>
      </c>
      <c r="P536" s="6" t="s">
        <v>65</v>
      </c>
      <c r="Q536" s="8" t="s">
        <v>66</v>
      </c>
      <c r="R536" s="10" t="s">
        <v>3598</v>
      </c>
      <c r="S536" s="11" t="s">
        <v>3599</v>
      </c>
      <c r="T536" s="6"/>
      <c r="U536" s="28" t="str">
        <f>HYPERLINK("https://media.infra-m.ru/2053/2053975/cover/2053975.jpg", "Обложка")</f>
        <v>Обложка</v>
      </c>
      <c r="V536" s="28" t="str">
        <f>HYPERLINK("https://znanium.com/catalog/product/2053975", "Ознакомиться")</f>
        <v>Ознакомиться</v>
      </c>
      <c r="W536" s="8" t="s">
        <v>216</v>
      </c>
      <c r="X536" s="6"/>
      <c r="Y536" s="6"/>
      <c r="Z536" s="6"/>
      <c r="AA536" s="6" t="s">
        <v>464</v>
      </c>
    </row>
    <row r="537" spans="1:27" s="4" customFormat="1" ht="51.95" customHeight="1">
      <c r="A537" s="5">
        <v>0</v>
      </c>
      <c r="B537" s="6" t="s">
        <v>3600</v>
      </c>
      <c r="C537" s="13">
        <v>990</v>
      </c>
      <c r="D537" s="8" t="s">
        <v>3601</v>
      </c>
      <c r="E537" s="8" t="s">
        <v>3582</v>
      </c>
      <c r="F537" s="8" t="s">
        <v>3596</v>
      </c>
      <c r="G537" s="6" t="s">
        <v>121</v>
      </c>
      <c r="H537" s="6" t="s">
        <v>38</v>
      </c>
      <c r="I537" s="8" t="s">
        <v>187</v>
      </c>
      <c r="J537" s="9">
        <v>1</v>
      </c>
      <c r="K537" s="9">
        <v>289</v>
      </c>
      <c r="L537" s="9">
        <v>2020</v>
      </c>
      <c r="M537" s="8" t="s">
        <v>3602</v>
      </c>
      <c r="N537" s="8" t="s">
        <v>41</v>
      </c>
      <c r="O537" s="8" t="s">
        <v>54</v>
      </c>
      <c r="P537" s="6" t="s">
        <v>65</v>
      </c>
      <c r="Q537" s="8" t="s">
        <v>189</v>
      </c>
      <c r="R537" s="10" t="s">
        <v>3603</v>
      </c>
      <c r="S537" s="11" t="s">
        <v>3604</v>
      </c>
      <c r="T537" s="6"/>
      <c r="U537" s="28" t="str">
        <f>HYPERLINK("https://media.infra-m.ru/1047/1047921/cover/1047921.jpg", "Обложка")</f>
        <v>Обложка</v>
      </c>
      <c r="V537" s="28" t="str">
        <f>HYPERLINK("https://znanium.com/catalog/product/1047921", "Ознакомиться")</f>
        <v>Ознакомиться</v>
      </c>
      <c r="W537" s="8" t="s">
        <v>216</v>
      </c>
      <c r="X537" s="6"/>
      <c r="Y537" s="6"/>
      <c r="Z537" s="6" t="s">
        <v>192</v>
      </c>
      <c r="AA537" s="6" t="s">
        <v>225</v>
      </c>
    </row>
    <row r="538" spans="1:27" s="4" customFormat="1" ht="51.95" customHeight="1">
      <c r="A538" s="5">
        <v>0</v>
      </c>
      <c r="B538" s="6" t="s">
        <v>3605</v>
      </c>
      <c r="C538" s="13">
        <v>184.9</v>
      </c>
      <c r="D538" s="8" t="s">
        <v>3606</v>
      </c>
      <c r="E538" s="8" t="s">
        <v>3560</v>
      </c>
      <c r="F538" s="8" t="s">
        <v>390</v>
      </c>
      <c r="G538" s="6" t="s">
        <v>52</v>
      </c>
      <c r="H538" s="6" t="s">
        <v>122</v>
      </c>
      <c r="I538" s="8" t="s">
        <v>197</v>
      </c>
      <c r="J538" s="9">
        <v>1</v>
      </c>
      <c r="K538" s="9">
        <v>155</v>
      </c>
      <c r="L538" s="9">
        <v>2016</v>
      </c>
      <c r="M538" s="8" t="s">
        <v>3607</v>
      </c>
      <c r="N538" s="8" t="s">
        <v>41</v>
      </c>
      <c r="O538" s="8" t="s">
        <v>54</v>
      </c>
      <c r="P538" s="6" t="s">
        <v>199</v>
      </c>
      <c r="Q538" s="8" t="s">
        <v>66</v>
      </c>
      <c r="R538" s="10" t="s">
        <v>3608</v>
      </c>
      <c r="S538" s="11"/>
      <c r="T538" s="6"/>
      <c r="U538" s="12"/>
      <c r="V538" s="28" t="str">
        <f>HYPERLINK("https://znanium.com/catalog/product/614912", "Ознакомиться")</f>
        <v>Ознакомиться</v>
      </c>
      <c r="W538" s="8"/>
      <c r="X538" s="6"/>
      <c r="Y538" s="6"/>
      <c r="Z538" s="6"/>
      <c r="AA538" s="6" t="s">
        <v>454</v>
      </c>
    </row>
    <row r="539" spans="1:27" s="4" customFormat="1" ht="42" customHeight="1">
      <c r="A539" s="5">
        <v>0</v>
      </c>
      <c r="B539" s="6" t="s">
        <v>3609</v>
      </c>
      <c r="C539" s="7">
        <v>1810</v>
      </c>
      <c r="D539" s="8" t="s">
        <v>3610</v>
      </c>
      <c r="E539" s="8" t="s">
        <v>3611</v>
      </c>
      <c r="F539" s="8" t="s">
        <v>3612</v>
      </c>
      <c r="G539" s="6" t="s">
        <v>121</v>
      </c>
      <c r="H539" s="6" t="s">
        <v>38</v>
      </c>
      <c r="I539" s="8" t="s">
        <v>130</v>
      </c>
      <c r="J539" s="9">
        <v>1</v>
      </c>
      <c r="K539" s="9">
        <v>385</v>
      </c>
      <c r="L539" s="9">
        <v>2023</v>
      </c>
      <c r="M539" s="8" t="s">
        <v>3613</v>
      </c>
      <c r="N539" s="8" t="s">
        <v>41</v>
      </c>
      <c r="O539" s="8" t="s">
        <v>54</v>
      </c>
      <c r="P539" s="6" t="s">
        <v>65</v>
      </c>
      <c r="Q539" s="8" t="s">
        <v>66</v>
      </c>
      <c r="R539" s="10" t="s">
        <v>3614</v>
      </c>
      <c r="S539" s="11"/>
      <c r="T539" s="6"/>
      <c r="U539" s="28" t="str">
        <f>HYPERLINK("https://media.infra-m.ru/1842/1842523/cover/1842523.jpg", "Обложка")</f>
        <v>Обложка</v>
      </c>
      <c r="V539" s="28" t="str">
        <f>HYPERLINK("https://znanium.com/catalog/product/1842523", "Ознакомиться")</f>
        <v>Ознакомиться</v>
      </c>
      <c r="W539" s="8" t="s">
        <v>590</v>
      </c>
      <c r="X539" s="6" t="s">
        <v>3615</v>
      </c>
      <c r="Y539" s="6"/>
      <c r="Z539" s="6"/>
      <c r="AA539" s="6" t="s">
        <v>574</v>
      </c>
    </row>
    <row r="540" spans="1:27" s="4" customFormat="1" ht="51.95" customHeight="1">
      <c r="A540" s="5">
        <v>0</v>
      </c>
      <c r="B540" s="6" t="s">
        <v>3616</v>
      </c>
      <c r="C540" s="7">
        <v>1994</v>
      </c>
      <c r="D540" s="8" t="s">
        <v>3617</v>
      </c>
      <c r="E540" s="8" t="s">
        <v>3618</v>
      </c>
      <c r="F540" s="8" t="s">
        <v>3619</v>
      </c>
      <c r="G540" s="6" t="s">
        <v>121</v>
      </c>
      <c r="H540" s="6" t="s">
        <v>317</v>
      </c>
      <c r="I540" s="8" t="s">
        <v>3620</v>
      </c>
      <c r="J540" s="9">
        <v>1</v>
      </c>
      <c r="K540" s="9">
        <v>496</v>
      </c>
      <c r="L540" s="9">
        <v>2023</v>
      </c>
      <c r="M540" s="8" t="s">
        <v>3621</v>
      </c>
      <c r="N540" s="8" t="s">
        <v>41</v>
      </c>
      <c r="O540" s="8" t="s">
        <v>54</v>
      </c>
      <c r="P540" s="6" t="s">
        <v>65</v>
      </c>
      <c r="Q540" s="8" t="s">
        <v>66</v>
      </c>
      <c r="R540" s="10" t="s">
        <v>3622</v>
      </c>
      <c r="S540" s="11" t="s">
        <v>3623</v>
      </c>
      <c r="T540" s="6"/>
      <c r="U540" s="28" t="str">
        <f>HYPERLINK("https://media.infra-m.ru/1976/1976202/cover/1976202.jpg", "Обложка")</f>
        <v>Обложка</v>
      </c>
      <c r="V540" s="28" t="str">
        <f>HYPERLINK("https://znanium.com/catalog/product/1036516", "Ознакомиться")</f>
        <v>Ознакомиться</v>
      </c>
      <c r="W540" s="8" t="s">
        <v>1578</v>
      </c>
      <c r="X540" s="6"/>
      <c r="Y540" s="6"/>
      <c r="Z540" s="6"/>
      <c r="AA540" s="6" t="s">
        <v>70</v>
      </c>
    </row>
    <row r="541" spans="1:27" s="4" customFormat="1" ht="42" customHeight="1">
      <c r="A541" s="5">
        <v>0</v>
      </c>
      <c r="B541" s="6" t="s">
        <v>3624</v>
      </c>
      <c r="C541" s="13">
        <v>664.9</v>
      </c>
      <c r="D541" s="8" t="s">
        <v>3625</v>
      </c>
      <c r="E541" s="8" t="s">
        <v>3626</v>
      </c>
      <c r="F541" s="8" t="s">
        <v>3627</v>
      </c>
      <c r="G541" s="6" t="s">
        <v>52</v>
      </c>
      <c r="H541" s="6" t="s">
        <v>38</v>
      </c>
      <c r="I541" s="8" t="s">
        <v>62</v>
      </c>
      <c r="J541" s="9">
        <v>1</v>
      </c>
      <c r="K541" s="9">
        <v>175</v>
      </c>
      <c r="L541" s="9">
        <v>2022</v>
      </c>
      <c r="M541" s="8" t="s">
        <v>3628</v>
      </c>
      <c r="N541" s="8" t="s">
        <v>41</v>
      </c>
      <c r="O541" s="8" t="s">
        <v>54</v>
      </c>
      <c r="P541" s="6" t="s">
        <v>85</v>
      </c>
      <c r="Q541" s="8" t="s">
        <v>66</v>
      </c>
      <c r="R541" s="10" t="s">
        <v>1864</v>
      </c>
      <c r="S541" s="11"/>
      <c r="T541" s="6"/>
      <c r="U541" s="28" t="str">
        <f>HYPERLINK("https://media.infra-m.ru/1844/1844322/cover/1844322.jpg", "Обложка")</f>
        <v>Обложка</v>
      </c>
      <c r="V541" s="28" t="str">
        <f>HYPERLINK("https://znanium.com/catalog/product/1844322", "Ознакомиться")</f>
        <v>Ознакомиться</v>
      </c>
      <c r="W541" s="8" t="s">
        <v>169</v>
      </c>
      <c r="X541" s="6"/>
      <c r="Y541" s="6"/>
      <c r="Z541" s="6"/>
      <c r="AA541" s="6" t="s">
        <v>161</v>
      </c>
    </row>
    <row r="542" spans="1:27" s="4" customFormat="1" ht="44.1" customHeight="1">
      <c r="A542" s="5">
        <v>0</v>
      </c>
      <c r="B542" s="6" t="s">
        <v>3629</v>
      </c>
      <c r="C542" s="13">
        <v>754.9</v>
      </c>
      <c r="D542" s="8" t="s">
        <v>3630</v>
      </c>
      <c r="E542" s="8" t="s">
        <v>3626</v>
      </c>
      <c r="F542" s="8" t="s">
        <v>3631</v>
      </c>
      <c r="G542" s="6" t="s">
        <v>121</v>
      </c>
      <c r="H542" s="6" t="s">
        <v>554</v>
      </c>
      <c r="I542" s="8" t="s">
        <v>130</v>
      </c>
      <c r="J542" s="9">
        <v>1</v>
      </c>
      <c r="K542" s="9">
        <v>236</v>
      </c>
      <c r="L542" s="9">
        <v>2019</v>
      </c>
      <c r="M542" s="8" t="s">
        <v>3632</v>
      </c>
      <c r="N542" s="8" t="s">
        <v>41</v>
      </c>
      <c r="O542" s="8" t="s">
        <v>54</v>
      </c>
      <c r="P542" s="6" t="s">
        <v>65</v>
      </c>
      <c r="Q542" s="8" t="s">
        <v>66</v>
      </c>
      <c r="R542" s="10" t="s">
        <v>3585</v>
      </c>
      <c r="S542" s="11"/>
      <c r="T542" s="6" t="s">
        <v>89</v>
      </c>
      <c r="U542" s="28" t="str">
        <f>HYPERLINK("https://media.infra-m.ru/1002/1002617/cover/1002617.jpg", "Обложка")</f>
        <v>Обложка</v>
      </c>
      <c r="V542" s="28" t="str">
        <f>HYPERLINK("https://znanium.com/catalog/product/1930696", "Ознакомиться")</f>
        <v>Ознакомиться</v>
      </c>
      <c r="W542" s="8" t="s">
        <v>3587</v>
      </c>
      <c r="X542" s="6"/>
      <c r="Y542" s="6"/>
      <c r="Z542" s="6"/>
      <c r="AA542" s="6" t="s">
        <v>47</v>
      </c>
    </row>
    <row r="543" spans="1:27" s="4" customFormat="1" ht="51.95" customHeight="1">
      <c r="A543" s="5">
        <v>0</v>
      </c>
      <c r="B543" s="6" t="s">
        <v>3633</v>
      </c>
      <c r="C543" s="7">
        <v>1730</v>
      </c>
      <c r="D543" s="8" t="s">
        <v>3634</v>
      </c>
      <c r="E543" s="8" t="s">
        <v>3635</v>
      </c>
      <c r="F543" s="8" t="s">
        <v>3636</v>
      </c>
      <c r="G543" s="6" t="s">
        <v>37</v>
      </c>
      <c r="H543" s="6" t="s">
        <v>207</v>
      </c>
      <c r="I543" s="8" t="s">
        <v>130</v>
      </c>
      <c r="J543" s="9">
        <v>1</v>
      </c>
      <c r="K543" s="9">
        <v>384</v>
      </c>
      <c r="L543" s="9">
        <v>2023</v>
      </c>
      <c r="M543" s="8" t="s">
        <v>3637</v>
      </c>
      <c r="N543" s="8" t="s">
        <v>41</v>
      </c>
      <c r="O543" s="8" t="s">
        <v>97</v>
      </c>
      <c r="P543" s="6" t="s">
        <v>65</v>
      </c>
      <c r="Q543" s="8" t="s">
        <v>66</v>
      </c>
      <c r="R543" s="10" t="s">
        <v>3102</v>
      </c>
      <c r="S543" s="11" t="s">
        <v>3638</v>
      </c>
      <c r="T543" s="6"/>
      <c r="U543" s="28" t="str">
        <f>HYPERLINK("https://media.infra-m.ru/1950/1950143/cover/1950143.jpg", "Обложка")</f>
        <v>Обложка</v>
      </c>
      <c r="V543" s="28" t="str">
        <f>HYPERLINK("https://znanium.com/catalog/product/1950143", "Ознакомиться")</f>
        <v>Ознакомиться</v>
      </c>
      <c r="W543" s="8" t="s">
        <v>620</v>
      </c>
      <c r="X543" s="6"/>
      <c r="Y543" s="6"/>
      <c r="Z543" s="6"/>
      <c r="AA543" s="6" t="s">
        <v>254</v>
      </c>
    </row>
    <row r="544" spans="1:27" s="4" customFormat="1" ht="51.95" customHeight="1">
      <c r="A544" s="5">
        <v>0</v>
      </c>
      <c r="B544" s="6" t="s">
        <v>3639</v>
      </c>
      <c r="C544" s="7">
        <v>1180</v>
      </c>
      <c r="D544" s="8" t="s">
        <v>3640</v>
      </c>
      <c r="E544" s="8" t="s">
        <v>3641</v>
      </c>
      <c r="F544" s="8" t="s">
        <v>3642</v>
      </c>
      <c r="G544" s="6" t="s">
        <v>37</v>
      </c>
      <c r="H544" s="6" t="s">
        <v>38</v>
      </c>
      <c r="I544" s="8" t="s">
        <v>62</v>
      </c>
      <c r="J544" s="9">
        <v>1</v>
      </c>
      <c r="K544" s="9">
        <v>262</v>
      </c>
      <c r="L544" s="9">
        <v>2023</v>
      </c>
      <c r="M544" s="8" t="s">
        <v>3643</v>
      </c>
      <c r="N544" s="8" t="s">
        <v>41</v>
      </c>
      <c r="O544" s="8" t="s">
        <v>64</v>
      </c>
      <c r="P544" s="6" t="s">
        <v>85</v>
      </c>
      <c r="Q544" s="8" t="s">
        <v>66</v>
      </c>
      <c r="R544" s="10" t="s">
        <v>3644</v>
      </c>
      <c r="S544" s="11" t="s">
        <v>3645</v>
      </c>
      <c r="T544" s="6"/>
      <c r="U544" s="28" t="str">
        <f>HYPERLINK("https://media.infra-m.ru/1914/1914107/cover/1914107.jpg", "Обложка")</f>
        <v>Обложка</v>
      </c>
      <c r="V544" s="28" t="str">
        <f>HYPERLINK("https://znanium.com/catalog/product/1914107", "Ознакомиться")</f>
        <v>Ознакомиться</v>
      </c>
      <c r="W544" s="8" t="s">
        <v>620</v>
      </c>
      <c r="X544" s="6"/>
      <c r="Y544" s="6"/>
      <c r="Z544" s="6"/>
      <c r="AA544" s="6" t="s">
        <v>57</v>
      </c>
    </row>
    <row r="545" spans="1:27" s="4" customFormat="1" ht="42" customHeight="1">
      <c r="A545" s="5">
        <v>0</v>
      </c>
      <c r="B545" s="6" t="s">
        <v>3646</v>
      </c>
      <c r="C545" s="7">
        <v>1264.9000000000001</v>
      </c>
      <c r="D545" s="8" t="s">
        <v>3647</v>
      </c>
      <c r="E545" s="8" t="s">
        <v>3648</v>
      </c>
      <c r="F545" s="8" t="s">
        <v>3649</v>
      </c>
      <c r="G545" s="6" t="s">
        <v>37</v>
      </c>
      <c r="H545" s="6" t="s">
        <v>38</v>
      </c>
      <c r="I545" s="8" t="s">
        <v>39</v>
      </c>
      <c r="J545" s="9">
        <v>1</v>
      </c>
      <c r="K545" s="9">
        <v>281</v>
      </c>
      <c r="L545" s="9">
        <v>2023</v>
      </c>
      <c r="M545" s="8" t="s">
        <v>3650</v>
      </c>
      <c r="N545" s="8" t="s">
        <v>41</v>
      </c>
      <c r="O545" s="8" t="s">
        <v>42</v>
      </c>
      <c r="P545" s="6" t="s">
        <v>43</v>
      </c>
      <c r="Q545" s="8" t="s">
        <v>44</v>
      </c>
      <c r="R545" s="10" t="s">
        <v>1309</v>
      </c>
      <c r="S545" s="11"/>
      <c r="T545" s="6"/>
      <c r="U545" s="28" t="str">
        <f>HYPERLINK("https://media.infra-m.ru/1964/1964983/cover/1964983.jpg", "Обложка")</f>
        <v>Обложка</v>
      </c>
      <c r="V545" s="28" t="str">
        <f>HYPERLINK("https://znanium.com/catalog/product/1209812", "Ознакомиться")</f>
        <v>Ознакомиться</v>
      </c>
      <c r="W545" s="8" t="s">
        <v>3651</v>
      </c>
      <c r="X545" s="6"/>
      <c r="Y545" s="6"/>
      <c r="Z545" s="6"/>
      <c r="AA545" s="6" t="s">
        <v>193</v>
      </c>
    </row>
    <row r="546" spans="1:27" s="4" customFormat="1" ht="51.95" customHeight="1">
      <c r="A546" s="5">
        <v>0</v>
      </c>
      <c r="B546" s="6" t="s">
        <v>3652</v>
      </c>
      <c r="C546" s="7">
        <v>1930</v>
      </c>
      <c r="D546" s="8" t="s">
        <v>3653</v>
      </c>
      <c r="E546" s="8" t="s">
        <v>3654</v>
      </c>
      <c r="F546" s="8" t="s">
        <v>3612</v>
      </c>
      <c r="G546" s="6" t="s">
        <v>121</v>
      </c>
      <c r="H546" s="6" t="s">
        <v>38</v>
      </c>
      <c r="I546" s="8" t="s">
        <v>3655</v>
      </c>
      <c r="J546" s="9">
        <v>1</v>
      </c>
      <c r="K546" s="9">
        <v>418</v>
      </c>
      <c r="L546" s="9">
        <v>2024</v>
      </c>
      <c r="M546" s="8" t="s">
        <v>3656</v>
      </c>
      <c r="N546" s="8" t="s">
        <v>41</v>
      </c>
      <c r="O546" s="8" t="s">
        <v>54</v>
      </c>
      <c r="P546" s="6" t="s">
        <v>65</v>
      </c>
      <c r="Q546" s="8" t="s">
        <v>66</v>
      </c>
      <c r="R546" s="10" t="s">
        <v>3657</v>
      </c>
      <c r="S546" s="11" t="s">
        <v>3658</v>
      </c>
      <c r="T546" s="6"/>
      <c r="U546" s="28" t="str">
        <f>HYPERLINK("https://media.infra-m.ru/2083/2083691/cover/2083691.jpg", "Обложка")</f>
        <v>Обложка</v>
      </c>
      <c r="V546" s="28" t="str">
        <f>HYPERLINK("https://znanium.com/catalog/product/2083691", "Ознакомиться")</f>
        <v>Ознакомиться</v>
      </c>
      <c r="W546" s="8" t="s">
        <v>590</v>
      </c>
      <c r="X546" s="6"/>
      <c r="Y546" s="6"/>
      <c r="Z546" s="6"/>
      <c r="AA546" s="6" t="s">
        <v>193</v>
      </c>
    </row>
    <row r="547" spans="1:27" s="4" customFormat="1" ht="51.95" customHeight="1">
      <c r="A547" s="5">
        <v>0</v>
      </c>
      <c r="B547" s="6" t="s">
        <v>3659</v>
      </c>
      <c r="C547" s="13">
        <v>700</v>
      </c>
      <c r="D547" s="8" t="s">
        <v>3660</v>
      </c>
      <c r="E547" s="8" t="s">
        <v>3661</v>
      </c>
      <c r="F547" s="8" t="s">
        <v>3662</v>
      </c>
      <c r="G547" s="6" t="s">
        <v>52</v>
      </c>
      <c r="H547" s="6" t="s">
        <v>207</v>
      </c>
      <c r="I547" s="8" t="s">
        <v>3663</v>
      </c>
      <c r="J547" s="9">
        <v>1</v>
      </c>
      <c r="K547" s="9">
        <v>128</v>
      </c>
      <c r="L547" s="9">
        <v>2024</v>
      </c>
      <c r="M547" s="8" t="s">
        <v>3664</v>
      </c>
      <c r="N547" s="8" t="s">
        <v>41</v>
      </c>
      <c r="O547" s="8" t="s">
        <v>54</v>
      </c>
      <c r="P547" s="6" t="s">
        <v>65</v>
      </c>
      <c r="Q547" s="8" t="s">
        <v>66</v>
      </c>
      <c r="R547" s="10" t="s">
        <v>3665</v>
      </c>
      <c r="S547" s="11" t="s">
        <v>3666</v>
      </c>
      <c r="T547" s="6"/>
      <c r="U547" s="28" t="str">
        <f>HYPERLINK("https://media.infra-m.ru/2104/2104787/cover/2104787.jpg", "Обложка")</f>
        <v>Обложка</v>
      </c>
      <c r="V547" s="28" t="str">
        <f>HYPERLINK("https://znanium.com/catalog/product/2104787", "Ознакомиться")</f>
        <v>Ознакомиться</v>
      </c>
      <c r="W547" s="8" t="s">
        <v>1001</v>
      </c>
      <c r="X547" s="6"/>
      <c r="Y547" s="6"/>
      <c r="Z547" s="6"/>
      <c r="AA547" s="6" t="s">
        <v>47</v>
      </c>
    </row>
    <row r="548" spans="1:27" s="4" customFormat="1" ht="51.95" customHeight="1">
      <c r="A548" s="5">
        <v>0</v>
      </c>
      <c r="B548" s="6" t="s">
        <v>3667</v>
      </c>
      <c r="C548" s="7">
        <v>1080</v>
      </c>
      <c r="D548" s="8" t="s">
        <v>3668</v>
      </c>
      <c r="E548" s="8" t="s">
        <v>3669</v>
      </c>
      <c r="F548" s="8" t="s">
        <v>2193</v>
      </c>
      <c r="G548" s="6" t="s">
        <v>37</v>
      </c>
      <c r="H548" s="6" t="s">
        <v>38</v>
      </c>
      <c r="I548" s="8" t="s">
        <v>3670</v>
      </c>
      <c r="J548" s="9">
        <v>1</v>
      </c>
      <c r="K548" s="9">
        <v>236</v>
      </c>
      <c r="L548" s="9">
        <v>2023</v>
      </c>
      <c r="M548" s="8" t="s">
        <v>3671</v>
      </c>
      <c r="N548" s="8" t="s">
        <v>41</v>
      </c>
      <c r="O548" s="8" t="s">
        <v>97</v>
      </c>
      <c r="P548" s="6" t="s">
        <v>65</v>
      </c>
      <c r="Q548" s="8" t="s">
        <v>66</v>
      </c>
      <c r="R548" s="10" t="s">
        <v>3672</v>
      </c>
      <c r="S548" s="11" t="s">
        <v>3673</v>
      </c>
      <c r="T548" s="6"/>
      <c r="U548" s="28" t="str">
        <f>HYPERLINK("https://media.infra-m.ru/1981/1981645/cover/1981645.jpg", "Обложка")</f>
        <v>Обложка</v>
      </c>
      <c r="V548" s="28" t="str">
        <f>HYPERLINK("https://znanium.com/catalog/product/1981645", "Ознакомиться")</f>
        <v>Ознакомиться</v>
      </c>
      <c r="W548" s="8" t="s">
        <v>963</v>
      </c>
      <c r="X548" s="6"/>
      <c r="Y548" s="6"/>
      <c r="Z548" s="6"/>
      <c r="AA548" s="6" t="s">
        <v>78</v>
      </c>
    </row>
    <row r="549" spans="1:27" s="4" customFormat="1" ht="51.95" customHeight="1">
      <c r="A549" s="5">
        <v>0</v>
      </c>
      <c r="B549" s="6" t="s">
        <v>3674</v>
      </c>
      <c r="C549" s="7">
        <v>1274</v>
      </c>
      <c r="D549" s="8" t="s">
        <v>3675</v>
      </c>
      <c r="E549" s="8" t="s">
        <v>3676</v>
      </c>
      <c r="F549" s="8" t="s">
        <v>3677</v>
      </c>
      <c r="G549" s="6" t="s">
        <v>52</v>
      </c>
      <c r="H549" s="6" t="s">
        <v>122</v>
      </c>
      <c r="I549" s="8" t="s">
        <v>39</v>
      </c>
      <c r="J549" s="9">
        <v>1</v>
      </c>
      <c r="K549" s="9">
        <v>283</v>
      </c>
      <c r="L549" s="9">
        <v>2023</v>
      </c>
      <c r="M549" s="8" t="s">
        <v>3678</v>
      </c>
      <c r="N549" s="8" t="s">
        <v>41</v>
      </c>
      <c r="O549" s="8" t="s">
        <v>54</v>
      </c>
      <c r="P549" s="6" t="s">
        <v>43</v>
      </c>
      <c r="Q549" s="8" t="s">
        <v>44</v>
      </c>
      <c r="R549" s="10" t="s">
        <v>3679</v>
      </c>
      <c r="S549" s="11"/>
      <c r="T549" s="6"/>
      <c r="U549" s="28" t="str">
        <f>HYPERLINK("https://media.infra-m.ru/2002/2002662/cover/2002662.jpg", "Обложка")</f>
        <v>Обложка</v>
      </c>
      <c r="V549" s="28" t="str">
        <f>HYPERLINK("https://znanium.com/catalog/product/1036626", "Ознакомиться")</f>
        <v>Ознакомиться</v>
      </c>
      <c r="W549" s="8" t="s">
        <v>3680</v>
      </c>
      <c r="X549" s="6"/>
      <c r="Y549" s="6"/>
      <c r="Z549" s="6"/>
      <c r="AA549" s="6" t="s">
        <v>320</v>
      </c>
    </row>
    <row r="550" spans="1:27" s="4" customFormat="1" ht="51.95" customHeight="1">
      <c r="A550" s="5">
        <v>0</v>
      </c>
      <c r="B550" s="6" t="s">
        <v>3681</v>
      </c>
      <c r="C550" s="7">
        <v>1340</v>
      </c>
      <c r="D550" s="8" t="s">
        <v>3682</v>
      </c>
      <c r="E550" s="8" t="s">
        <v>3683</v>
      </c>
      <c r="F550" s="8" t="s">
        <v>3684</v>
      </c>
      <c r="G550" s="6" t="s">
        <v>37</v>
      </c>
      <c r="H550" s="6" t="s">
        <v>38</v>
      </c>
      <c r="I550" s="8" t="s">
        <v>130</v>
      </c>
      <c r="J550" s="9">
        <v>1</v>
      </c>
      <c r="K550" s="9">
        <v>288</v>
      </c>
      <c r="L550" s="9">
        <v>2024</v>
      </c>
      <c r="M550" s="8" t="s">
        <v>3685</v>
      </c>
      <c r="N550" s="8" t="s">
        <v>41</v>
      </c>
      <c r="O550" s="8" t="s">
        <v>42</v>
      </c>
      <c r="P550" s="6" t="s">
        <v>65</v>
      </c>
      <c r="Q550" s="8" t="s">
        <v>66</v>
      </c>
      <c r="R550" s="10" t="s">
        <v>3686</v>
      </c>
      <c r="S550" s="11" t="s">
        <v>3687</v>
      </c>
      <c r="T550" s="6"/>
      <c r="U550" s="28" t="str">
        <f>HYPERLINK("https://media.infra-m.ru/2111/2111332/cover/2111332.jpg", "Обложка")</f>
        <v>Обложка</v>
      </c>
      <c r="V550" s="28" t="str">
        <f>HYPERLINK("https://znanium.com/catalog/product/2111332", "Ознакомиться")</f>
        <v>Ознакомиться</v>
      </c>
      <c r="W550" s="8" t="s">
        <v>3688</v>
      </c>
      <c r="X550" s="6"/>
      <c r="Y550" s="6"/>
      <c r="Z550" s="6"/>
      <c r="AA550" s="6" t="s">
        <v>100</v>
      </c>
    </row>
    <row r="551" spans="1:27" s="4" customFormat="1" ht="51.95" customHeight="1">
      <c r="A551" s="5">
        <v>0</v>
      </c>
      <c r="B551" s="6" t="s">
        <v>3689</v>
      </c>
      <c r="C551" s="7">
        <v>1990</v>
      </c>
      <c r="D551" s="8" t="s">
        <v>3690</v>
      </c>
      <c r="E551" s="8" t="s">
        <v>3691</v>
      </c>
      <c r="F551" s="8" t="s">
        <v>3692</v>
      </c>
      <c r="G551" s="6" t="s">
        <v>37</v>
      </c>
      <c r="H551" s="6" t="s">
        <v>38</v>
      </c>
      <c r="I551" s="8" t="s">
        <v>62</v>
      </c>
      <c r="J551" s="9">
        <v>1</v>
      </c>
      <c r="K551" s="9">
        <v>584</v>
      </c>
      <c r="L551" s="9">
        <v>2020</v>
      </c>
      <c r="M551" s="8" t="s">
        <v>3693</v>
      </c>
      <c r="N551" s="8" t="s">
        <v>41</v>
      </c>
      <c r="O551" s="8" t="s">
        <v>54</v>
      </c>
      <c r="P551" s="6" t="s">
        <v>65</v>
      </c>
      <c r="Q551" s="8" t="s">
        <v>66</v>
      </c>
      <c r="R551" s="10" t="s">
        <v>3694</v>
      </c>
      <c r="S551" s="11" t="s">
        <v>142</v>
      </c>
      <c r="T551" s="6"/>
      <c r="U551" s="28" t="str">
        <f>HYPERLINK("https://media.infra-m.ru/1081/1081618/cover/1081618.jpg", "Обложка")</f>
        <v>Обложка</v>
      </c>
      <c r="V551" s="28" t="str">
        <f>HYPERLINK("https://znanium.com/catalog/product/1081618", "Ознакомиться")</f>
        <v>Ознакомиться</v>
      </c>
      <c r="W551" s="8" t="s">
        <v>143</v>
      </c>
      <c r="X551" s="6"/>
      <c r="Y551" s="6"/>
      <c r="Z551" s="6"/>
      <c r="AA551" s="6" t="s">
        <v>144</v>
      </c>
    </row>
    <row r="552" spans="1:27" s="4" customFormat="1" ht="51.95" customHeight="1">
      <c r="A552" s="5">
        <v>0</v>
      </c>
      <c r="B552" s="6" t="s">
        <v>3695</v>
      </c>
      <c r="C552" s="13">
        <v>714.9</v>
      </c>
      <c r="D552" s="8" t="s">
        <v>3696</v>
      </c>
      <c r="E552" s="8" t="s">
        <v>3697</v>
      </c>
      <c r="F552" s="8" t="s">
        <v>3698</v>
      </c>
      <c r="G552" s="6" t="s">
        <v>121</v>
      </c>
      <c r="H552" s="6" t="s">
        <v>317</v>
      </c>
      <c r="I552" s="8"/>
      <c r="J552" s="9">
        <v>1</v>
      </c>
      <c r="K552" s="9">
        <v>196</v>
      </c>
      <c r="L552" s="9">
        <v>2019</v>
      </c>
      <c r="M552" s="8" t="s">
        <v>3699</v>
      </c>
      <c r="N552" s="8" t="s">
        <v>41</v>
      </c>
      <c r="O552" s="8" t="s">
        <v>54</v>
      </c>
      <c r="P552" s="6" t="s">
        <v>85</v>
      </c>
      <c r="Q552" s="8" t="s">
        <v>66</v>
      </c>
      <c r="R552" s="10" t="s">
        <v>3700</v>
      </c>
      <c r="S552" s="11" t="s">
        <v>3701</v>
      </c>
      <c r="T552" s="6"/>
      <c r="U552" s="28" t="str">
        <f>HYPERLINK("https://media.infra-m.ru/1027/1027407/cover/1027407.jpg", "Обложка")</f>
        <v>Обложка</v>
      </c>
      <c r="V552" s="28" t="str">
        <f>HYPERLINK("https://znanium.com/catalog/product/1027407", "Ознакомиться")</f>
        <v>Ознакомиться</v>
      </c>
      <c r="W552" s="8" t="s">
        <v>2384</v>
      </c>
      <c r="X552" s="6"/>
      <c r="Y552" s="6"/>
      <c r="Z552" s="6"/>
      <c r="AA552" s="6" t="s">
        <v>57</v>
      </c>
    </row>
    <row r="553" spans="1:27" s="4" customFormat="1" ht="51.95" customHeight="1">
      <c r="A553" s="5">
        <v>0</v>
      </c>
      <c r="B553" s="6" t="s">
        <v>3702</v>
      </c>
      <c r="C553" s="7">
        <v>1140</v>
      </c>
      <c r="D553" s="8" t="s">
        <v>3703</v>
      </c>
      <c r="E553" s="8" t="s">
        <v>3704</v>
      </c>
      <c r="F553" s="8" t="s">
        <v>3705</v>
      </c>
      <c r="G553" s="6" t="s">
        <v>37</v>
      </c>
      <c r="H553" s="6" t="s">
        <v>38</v>
      </c>
      <c r="I553" s="8" t="s">
        <v>62</v>
      </c>
      <c r="J553" s="9">
        <v>1</v>
      </c>
      <c r="K553" s="9">
        <v>253</v>
      </c>
      <c r="L553" s="9">
        <v>2023</v>
      </c>
      <c r="M553" s="8" t="s">
        <v>3706</v>
      </c>
      <c r="N553" s="8" t="s">
        <v>41</v>
      </c>
      <c r="O553" s="8" t="s">
        <v>54</v>
      </c>
      <c r="P553" s="6" t="s">
        <v>85</v>
      </c>
      <c r="Q553" s="8" t="s">
        <v>66</v>
      </c>
      <c r="R553" s="10" t="s">
        <v>3707</v>
      </c>
      <c r="S553" s="11" t="s">
        <v>3708</v>
      </c>
      <c r="T553" s="6"/>
      <c r="U553" s="28" t="str">
        <f>HYPERLINK("https://media.infra-m.ru/1913/1913992/cover/1913992.jpg", "Обложка")</f>
        <v>Обложка</v>
      </c>
      <c r="V553" s="28" t="str">
        <f>HYPERLINK("https://znanium.com/catalog/product/1913992", "Ознакомиться")</f>
        <v>Ознакомиться</v>
      </c>
      <c r="W553" s="8" t="s">
        <v>1935</v>
      </c>
      <c r="X553" s="6"/>
      <c r="Y553" s="6"/>
      <c r="Z553" s="6"/>
      <c r="AA553" s="6" t="s">
        <v>530</v>
      </c>
    </row>
    <row r="554" spans="1:27" s="4" customFormat="1" ht="51.95" customHeight="1">
      <c r="A554" s="5">
        <v>0</v>
      </c>
      <c r="B554" s="6" t="s">
        <v>3709</v>
      </c>
      <c r="C554" s="13">
        <v>964.9</v>
      </c>
      <c r="D554" s="8" t="s">
        <v>3710</v>
      </c>
      <c r="E554" s="8" t="s">
        <v>3711</v>
      </c>
      <c r="F554" s="8" t="s">
        <v>3705</v>
      </c>
      <c r="G554" s="6" t="s">
        <v>121</v>
      </c>
      <c r="H554" s="6" t="s">
        <v>38</v>
      </c>
      <c r="I554" s="8" t="s">
        <v>62</v>
      </c>
      <c r="J554" s="9">
        <v>1</v>
      </c>
      <c r="K554" s="9">
        <v>254</v>
      </c>
      <c r="L554" s="9">
        <v>2022</v>
      </c>
      <c r="M554" s="8" t="s">
        <v>3712</v>
      </c>
      <c r="N554" s="8" t="s">
        <v>41</v>
      </c>
      <c r="O554" s="8" t="s">
        <v>54</v>
      </c>
      <c r="P554" s="6" t="s">
        <v>85</v>
      </c>
      <c r="Q554" s="8" t="s">
        <v>66</v>
      </c>
      <c r="R554" s="10" t="s">
        <v>3707</v>
      </c>
      <c r="S554" s="11" t="s">
        <v>3708</v>
      </c>
      <c r="T554" s="6"/>
      <c r="U554" s="28" t="str">
        <f>HYPERLINK("https://media.infra-m.ru/1842/1842926/cover/1842926.jpg", "Обложка")</f>
        <v>Обложка</v>
      </c>
      <c r="V554" s="28" t="str">
        <f>HYPERLINK("https://znanium.com/catalog/product/1913992", "Ознакомиться")</f>
        <v>Ознакомиться</v>
      </c>
      <c r="W554" s="8" t="s">
        <v>1935</v>
      </c>
      <c r="X554" s="6"/>
      <c r="Y554" s="6"/>
      <c r="Z554" s="6"/>
      <c r="AA554" s="6" t="s">
        <v>57</v>
      </c>
    </row>
    <row r="555" spans="1:27" s="4" customFormat="1" ht="51.95" customHeight="1">
      <c r="A555" s="5">
        <v>0</v>
      </c>
      <c r="B555" s="6" t="s">
        <v>3713</v>
      </c>
      <c r="C555" s="13">
        <v>710</v>
      </c>
      <c r="D555" s="8" t="s">
        <v>3714</v>
      </c>
      <c r="E555" s="8" t="s">
        <v>3715</v>
      </c>
      <c r="F555" s="8" t="s">
        <v>3716</v>
      </c>
      <c r="G555" s="6" t="s">
        <v>121</v>
      </c>
      <c r="H555" s="6" t="s">
        <v>38</v>
      </c>
      <c r="I555" s="8" t="s">
        <v>62</v>
      </c>
      <c r="J555" s="9">
        <v>1</v>
      </c>
      <c r="K555" s="9">
        <v>180</v>
      </c>
      <c r="L555" s="9">
        <v>2020</v>
      </c>
      <c r="M555" s="8" t="s">
        <v>3717</v>
      </c>
      <c r="N555" s="8" t="s">
        <v>41</v>
      </c>
      <c r="O555" s="8" t="s">
        <v>54</v>
      </c>
      <c r="P555" s="6" t="s">
        <v>65</v>
      </c>
      <c r="Q555" s="8" t="s">
        <v>66</v>
      </c>
      <c r="R555" s="10" t="s">
        <v>3718</v>
      </c>
      <c r="S555" s="11" t="s">
        <v>3719</v>
      </c>
      <c r="T555" s="6"/>
      <c r="U555" s="28" t="str">
        <f>HYPERLINK("https://media.infra-m.ru/1058/1058889/cover/1058889.jpg", "Обложка")</f>
        <v>Обложка</v>
      </c>
      <c r="V555" s="28" t="str">
        <f>HYPERLINK("https://znanium.com/catalog/product/1058889", "Ознакомиться")</f>
        <v>Ознакомиться</v>
      </c>
      <c r="W555" s="8" t="s">
        <v>339</v>
      </c>
      <c r="X555" s="6"/>
      <c r="Y555" s="6"/>
      <c r="Z555" s="6"/>
      <c r="AA555" s="6" t="s">
        <v>108</v>
      </c>
    </row>
    <row r="556" spans="1:27" s="4" customFormat="1" ht="51.95" customHeight="1">
      <c r="A556" s="5">
        <v>0</v>
      </c>
      <c r="B556" s="6" t="s">
        <v>3720</v>
      </c>
      <c r="C556" s="13">
        <v>860</v>
      </c>
      <c r="D556" s="8" t="s">
        <v>3721</v>
      </c>
      <c r="E556" s="8" t="s">
        <v>3722</v>
      </c>
      <c r="F556" s="8" t="s">
        <v>3723</v>
      </c>
      <c r="G556" s="6" t="s">
        <v>121</v>
      </c>
      <c r="H556" s="6" t="s">
        <v>38</v>
      </c>
      <c r="I556" s="8" t="s">
        <v>187</v>
      </c>
      <c r="J556" s="9">
        <v>1</v>
      </c>
      <c r="K556" s="9">
        <v>181</v>
      </c>
      <c r="L556" s="9">
        <v>2024</v>
      </c>
      <c r="M556" s="8" t="s">
        <v>3724</v>
      </c>
      <c r="N556" s="8" t="s">
        <v>41</v>
      </c>
      <c r="O556" s="8" t="s">
        <v>54</v>
      </c>
      <c r="P556" s="6" t="s">
        <v>65</v>
      </c>
      <c r="Q556" s="8" t="s">
        <v>189</v>
      </c>
      <c r="R556" s="10" t="s">
        <v>3725</v>
      </c>
      <c r="S556" s="11"/>
      <c r="T556" s="6"/>
      <c r="U556" s="28" t="str">
        <f>HYPERLINK("https://media.infra-m.ru/2081/2081023/cover/2081023.jpg", "Обложка")</f>
        <v>Обложка</v>
      </c>
      <c r="V556" s="28" t="str">
        <f>HYPERLINK("https://znanium.com/catalog/product/2081023", "Ознакомиться")</f>
        <v>Ознакомиться</v>
      </c>
      <c r="W556" s="8" t="s">
        <v>1676</v>
      </c>
      <c r="X556" s="6" t="s">
        <v>386</v>
      </c>
      <c r="Y556" s="6"/>
      <c r="Z556" s="6" t="s">
        <v>192</v>
      </c>
      <c r="AA556" s="6" t="s">
        <v>2126</v>
      </c>
    </row>
    <row r="557" spans="1:27" s="4" customFormat="1" ht="51.95" customHeight="1">
      <c r="A557" s="5">
        <v>0</v>
      </c>
      <c r="B557" s="6" t="s">
        <v>3726</v>
      </c>
      <c r="C557" s="13">
        <v>890</v>
      </c>
      <c r="D557" s="8" t="s">
        <v>3727</v>
      </c>
      <c r="E557" s="8" t="s">
        <v>3722</v>
      </c>
      <c r="F557" s="8" t="s">
        <v>3723</v>
      </c>
      <c r="G557" s="6" t="s">
        <v>121</v>
      </c>
      <c r="H557" s="6" t="s">
        <v>38</v>
      </c>
      <c r="I557" s="8" t="s">
        <v>130</v>
      </c>
      <c r="J557" s="9">
        <v>1</v>
      </c>
      <c r="K557" s="9">
        <v>181</v>
      </c>
      <c r="L557" s="9">
        <v>2023</v>
      </c>
      <c r="M557" s="8" t="s">
        <v>3728</v>
      </c>
      <c r="N557" s="8" t="s">
        <v>41</v>
      </c>
      <c r="O557" s="8" t="s">
        <v>54</v>
      </c>
      <c r="P557" s="6" t="s">
        <v>65</v>
      </c>
      <c r="Q557" s="8" t="s">
        <v>66</v>
      </c>
      <c r="R557" s="10" t="s">
        <v>3729</v>
      </c>
      <c r="S557" s="11"/>
      <c r="T557" s="6"/>
      <c r="U557" s="28" t="str">
        <f>HYPERLINK("https://media.infra-m.ru/1874/1874258/cover/1874258.jpg", "Обложка")</f>
        <v>Обложка</v>
      </c>
      <c r="V557" s="28" t="str">
        <f>HYPERLINK("https://znanium.com/catalog/product/1874258", "Ознакомиться")</f>
        <v>Ознакомиться</v>
      </c>
      <c r="W557" s="8" t="s">
        <v>1676</v>
      </c>
      <c r="X557" s="6" t="s">
        <v>381</v>
      </c>
      <c r="Y557" s="6"/>
      <c r="Z557" s="6"/>
      <c r="AA557" s="6" t="s">
        <v>574</v>
      </c>
    </row>
    <row r="558" spans="1:27" s="4" customFormat="1" ht="51.95" customHeight="1">
      <c r="A558" s="5">
        <v>0</v>
      </c>
      <c r="B558" s="6" t="s">
        <v>3730</v>
      </c>
      <c r="C558" s="7">
        <v>1844</v>
      </c>
      <c r="D558" s="8" t="s">
        <v>3731</v>
      </c>
      <c r="E558" s="8" t="s">
        <v>3732</v>
      </c>
      <c r="F558" s="8" t="s">
        <v>3733</v>
      </c>
      <c r="G558" s="6" t="s">
        <v>121</v>
      </c>
      <c r="H558" s="6" t="s">
        <v>38</v>
      </c>
      <c r="I558" s="8" t="s">
        <v>62</v>
      </c>
      <c r="J558" s="9">
        <v>1</v>
      </c>
      <c r="K558" s="9">
        <v>400</v>
      </c>
      <c r="L558" s="9">
        <v>2024</v>
      </c>
      <c r="M558" s="8" t="s">
        <v>3734</v>
      </c>
      <c r="N558" s="8" t="s">
        <v>41</v>
      </c>
      <c r="O558" s="8" t="s">
        <v>54</v>
      </c>
      <c r="P558" s="6" t="s">
        <v>85</v>
      </c>
      <c r="Q558" s="8" t="s">
        <v>66</v>
      </c>
      <c r="R558" s="10" t="s">
        <v>3735</v>
      </c>
      <c r="S558" s="11" t="s">
        <v>3736</v>
      </c>
      <c r="T558" s="6" t="s">
        <v>89</v>
      </c>
      <c r="U558" s="28" t="str">
        <f>HYPERLINK("https://media.infra-m.ru/2082/2082006/cover/2082006.jpg", "Обложка")</f>
        <v>Обложка</v>
      </c>
      <c r="V558" s="28" t="str">
        <f>HYPERLINK("https://znanium.com/catalog/product/1939094", "Ознакомиться")</f>
        <v>Ознакомиться</v>
      </c>
      <c r="W558" s="8" t="s">
        <v>620</v>
      </c>
      <c r="X558" s="6"/>
      <c r="Y558" s="6"/>
      <c r="Z558" s="6"/>
      <c r="AA558" s="6" t="s">
        <v>254</v>
      </c>
    </row>
    <row r="559" spans="1:27" s="4" customFormat="1" ht="51.95" customHeight="1">
      <c r="A559" s="5">
        <v>0</v>
      </c>
      <c r="B559" s="6" t="s">
        <v>3737</v>
      </c>
      <c r="C559" s="13">
        <v>830</v>
      </c>
      <c r="D559" s="8" t="s">
        <v>3738</v>
      </c>
      <c r="E559" s="8" t="s">
        <v>3739</v>
      </c>
      <c r="F559" s="8" t="s">
        <v>2979</v>
      </c>
      <c r="G559" s="6" t="s">
        <v>37</v>
      </c>
      <c r="H559" s="6" t="s">
        <v>38</v>
      </c>
      <c r="I559" s="8" t="s">
        <v>1241</v>
      </c>
      <c r="J559" s="9">
        <v>1</v>
      </c>
      <c r="K559" s="9">
        <v>172</v>
      </c>
      <c r="L559" s="9">
        <v>2023</v>
      </c>
      <c r="M559" s="8" t="s">
        <v>3740</v>
      </c>
      <c r="N559" s="8" t="s">
        <v>41</v>
      </c>
      <c r="O559" s="8" t="s">
        <v>181</v>
      </c>
      <c r="P559" s="6" t="s">
        <v>1243</v>
      </c>
      <c r="Q559" s="8" t="s">
        <v>44</v>
      </c>
      <c r="R559" s="10" t="s">
        <v>3741</v>
      </c>
      <c r="S559" s="11"/>
      <c r="T559" s="6"/>
      <c r="U559" s="28" t="str">
        <f>HYPERLINK("https://media.infra-m.ru/1859/1859022/cover/1859022.jpg", "Обложка")</f>
        <v>Обложка</v>
      </c>
      <c r="V559" s="28" t="str">
        <f>HYPERLINK("https://znanium.com/catalog/product/1859022", "Ознакомиться")</f>
        <v>Ознакомиться</v>
      </c>
      <c r="W559" s="8" t="s">
        <v>730</v>
      </c>
      <c r="X559" s="6"/>
      <c r="Y559" s="6"/>
      <c r="Z559" s="6"/>
      <c r="AA559" s="6" t="s">
        <v>842</v>
      </c>
    </row>
    <row r="560" spans="1:27" s="4" customFormat="1" ht="44.1" customHeight="1">
      <c r="A560" s="5">
        <v>0</v>
      </c>
      <c r="B560" s="6" t="s">
        <v>3742</v>
      </c>
      <c r="C560" s="13">
        <v>564.9</v>
      </c>
      <c r="D560" s="8" t="s">
        <v>3743</v>
      </c>
      <c r="E560" s="8" t="s">
        <v>3744</v>
      </c>
      <c r="F560" s="8" t="s">
        <v>3745</v>
      </c>
      <c r="G560" s="6" t="s">
        <v>52</v>
      </c>
      <c r="H560" s="6" t="s">
        <v>264</v>
      </c>
      <c r="I560" s="8" t="s">
        <v>959</v>
      </c>
      <c r="J560" s="9">
        <v>1</v>
      </c>
      <c r="K560" s="9">
        <v>166</v>
      </c>
      <c r="L560" s="9">
        <v>2019</v>
      </c>
      <c r="M560" s="8" t="s">
        <v>3746</v>
      </c>
      <c r="N560" s="8" t="s">
        <v>41</v>
      </c>
      <c r="O560" s="8" t="s">
        <v>181</v>
      </c>
      <c r="P560" s="6" t="s">
        <v>43</v>
      </c>
      <c r="Q560" s="8" t="s">
        <v>44</v>
      </c>
      <c r="R560" s="10" t="s">
        <v>3747</v>
      </c>
      <c r="S560" s="11"/>
      <c r="T560" s="6"/>
      <c r="U560" s="28" t="str">
        <f>HYPERLINK("https://media.infra-m.ru/1010/1010018/cover/1010018.jpg", "Обложка")</f>
        <v>Обложка</v>
      </c>
      <c r="V560" s="28" t="str">
        <f>HYPERLINK("https://znanium.com/catalog/product/1010018", "Ознакомиться")</f>
        <v>Ознакомиться</v>
      </c>
      <c r="W560" s="8" t="s">
        <v>3748</v>
      </c>
      <c r="X560" s="6"/>
      <c r="Y560" s="6"/>
      <c r="Z560" s="6"/>
      <c r="AA560" s="6" t="s">
        <v>57</v>
      </c>
    </row>
    <row r="561" spans="1:27" s="4" customFormat="1" ht="51.95" customHeight="1">
      <c r="A561" s="5">
        <v>0</v>
      </c>
      <c r="B561" s="6" t="s">
        <v>3749</v>
      </c>
      <c r="C561" s="7">
        <v>1730</v>
      </c>
      <c r="D561" s="8" t="s">
        <v>3750</v>
      </c>
      <c r="E561" s="8" t="s">
        <v>3751</v>
      </c>
      <c r="F561" s="8" t="s">
        <v>3752</v>
      </c>
      <c r="G561" s="6" t="s">
        <v>37</v>
      </c>
      <c r="H561" s="6" t="s">
        <v>38</v>
      </c>
      <c r="I561" s="8" t="s">
        <v>62</v>
      </c>
      <c r="J561" s="9">
        <v>1</v>
      </c>
      <c r="K561" s="9">
        <v>456</v>
      </c>
      <c r="L561" s="9">
        <v>2022</v>
      </c>
      <c r="M561" s="8" t="s">
        <v>3753</v>
      </c>
      <c r="N561" s="8" t="s">
        <v>41</v>
      </c>
      <c r="O561" s="8" t="s">
        <v>64</v>
      </c>
      <c r="P561" s="6" t="s">
        <v>65</v>
      </c>
      <c r="Q561" s="8" t="s">
        <v>66</v>
      </c>
      <c r="R561" s="10" t="s">
        <v>2416</v>
      </c>
      <c r="S561" s="11" t="s">
        <v>3754</v>
      </c>
      <c r="T561" s="6"/>
      <c r="U561" s="28" t="str">
        <f>HYPERLINK("https://media.infra-m.ru/1850/1850392/cover/1850392.jpg", "Обложка")</f>
        <v>Обложка</v>
      </c>
      <c r="V561" s="28" t="str">
        <f>HYPERLINK("https://znanium.com/catalog/product/1850392", "Ознакомиться")</f>
        <v>Ознакомиться</v>
      </c>
      <c r="W561" s="8" t="s">
        <v>1449</v>
      </c>
      <c r="X561" s="6"/>
      <c r="Y561" s="6"/>
      <c r="Z561" s="6"/>
      <c r="AA561" s="6" t="s">
        <v>108</v>
      </c>
    </row>
    <row r="562" spans="1:27" s="4" customFormat="1" ht="51.95" customHeight="1">
      <c r="A562" s="5">
        <v>0</v>
      </c>
      <c r="B562" s="6" t="s">
        <v>3755</v>
      </c>
      <c r="C562" s="13">
        <v>960</v>
      </c>
      <c r="D562" s="8" t="s">
        <v>3756</v>
      </c>
      <c r="E562" s="8" t="s">
        <v>3757</v>
      </c>
      <c r="F562" s="8" t="s">
        <v>3758</v>
      </c>
      <c r="G562" s="6" t="s">
        <v>37</v>
      </c>
      <c r="H562" s="6" t="s">
        <v>38</v>
      </c>
      <c r="I562" s="8" t="s">
        <v>130</v>
      </c>
      <c r="J562" s="9">
        <v>1</v>
      </c>
      <c r="K562" s="9">
        <v>198</v>
      </c>
      <c r="L562" s="9">
        <v>2024</v>
      </c>
      <c r="M562" s="8" t="s">
        <v>3759</v>
      </c>
      <c r="N562" s="8" t="s">
        <v>41</v>
      </c>
      <c r="O562" s="8" t="s">
        <v>64</v>
      </c>
      <c r="P562" s="6" t="s">
        <v>65</v>
      </c>
      <c r="Q562" s="8" t="s">
        <v>132</v>
      </c>
      <c r="R562" s="10" t="s">
        <v>2151</v>
      </c>
      <c r="S562" s="11" t="s">
        <v>3760</v>
      </c>
      <c r="T562" s="6"/>
      <c r="U562" s="28" t="str">
        <f>HYPERLINK("https://media.infra-m.ru/2048/2048059/cover/2048059.jpg", "Обложка")</f>
        <v>Обложка</v>
      </c>
      <c r="V562" s="28" t="str">
        <f>HYPERLINK("https://znanium.com/catalog/product/2048059", "Ознакомиться")</f>
        <v>Ознакомиться</v>
      </c>
      <c r="W562" s="8" t="s">
        <v>2263</v>
      </c>
      <c r="X562" s="6"/>
      <c r="Y562" s="6"/>
      <c r="Z562" s="6"/>
      <c r="AA562" s="6" t="s">
        <v>254</v>
      </c>
    </row>
    <row r="563" spans="1:27" s="4" customFormat="1" ht="51.95" customHeight="1">
      <c r="A563" s="5">
        <v>0</v>
      </c>
      <c r="B563" s="6" t="s">
        <v>3761</v>
      </c>
      <c r="C563" s="7">
        <v>1624.9</v>
      </c>
      <c r="D563" s="8" t="s">
        <v>3762</v>
      </c>
      <c r="E563" s="8" t="s">
        <v>3763</v>
      </c>
      <c r="F563" s="8" t="s">
        <v>3764</v>
      </c>
      <c r="G563" s="6" t="s">
        <v>121</v>
      </c>
      <c r="H563" s="6" t="s">
        <v>38</v>
      </c>
      <c r="I563" s="8" t="s">
        <v>62</v>
      </c>
      <c r="J563" s="9">
        <v>1</v>
      </c>
      <c r="K563" s="9">
        <v>362</v>
      </c>
      <c r="L563" s="9">
        <v>2023</v>
      </c>
      <c r="M563" s="8" t="s">
        <v>3765</v>
      </c>
      <c r="N563" s="8" t="s">
        <v>41</v>
      </c>
      <c r="O563" s="8" t="s">
        <v>64</v>
      </c>
      <c r="P563" s="6" t="s">
        <v>65</v>
      </c>
      <c r="Q563" s="8" t="s">
        <v>66</v>
      </c>
      <c r="R563" s="10" t="s">
        <v>3766</v>
      </c>
      <c r="S563" s="11"/>
      <c r="T563" s="6"/>
      <c r="U563" s="28" t="str">
        <f>HYPERLINK("https://media.infra-m.ru/1893/1893750/cover/1893750.jpg", "Обложка")</f>
        <v>Обложка</v>
      </c>
      <c r="V563" s="28" t="str">
        <f>HYPERLINK("https://znanium.com/catalog/product/1790160", "Ознакомиться")</f>
        <v>Ознакомиться</v>
      </c>
      <c r="W563" s="8" t="s">
        <v>2263</v>
      </c>
      <c r="X563" s="6"/>
      <c r="Y563" s="6"/>
      <c r="Z563" s="6"/>
      <c r="AA563" s="6" t="s">
        <v>57</v>
      </c>
    </row>
    <row r="564" spans="1:27" s="4" customFormat="1" ht="33" customHeight="1">
      <c r="A564" s="5">
        <v>0</v>
      </c>
      <c r="B564" s="6" t="s">
        <v>3767</v>
      </c>
      <c r="C564" s="7">
        <v>2069.8000000000002</v>
      </c>
      <c r="D564" s="8" t="s">
        <v>3768</v>
      </c>
      <c r="E564" s="8" t="s">
        <v>3769</v>
      </c>
      <c r="F564" s="8" t="s">
        <v>3770</v>
      </c>
      <c r="G564" s="6" t="s">
        <v>121</v>
      </c>
      <c r="H564" s="6" t="s">
        <v>38</v>
      </c>
      <c r="I564" s="8"/>
      <c r="J564" s="9">
        <v>1</v>
      </c>
      <c r="K564" s="9">
        <v>850</v>
      </c>
      <c r="L564" s="9">
        <v>2019</v>
      </c>
      <c r="M564" s="8"/>
      <c r="N564" s="8" t="s">
        <v>41</v>
      </c>
      <c r="O564" s="8" t="s">
        <v>64</v>
      </c>
      <c r="P564" s="6" t="s">
        <v>3771</v>
      </c>
      <c r="Q564" s="8" t="s">
        <v>66</v>
      </c>
      <c r="R564" s="10"/>
      <c r="S564" s="11"/>
      <c r="T564" s="6"/>
      <c r="U564" s="12"/>
      <c r="V564" s="12"/>
      <c r="W564" s="8" t="s">
        <v>313</v>
      </c>
      <c r="X564" s="6"/>
      <c r="Y564" s="6"/>
      <c r="Z564" s="6"/>
      <c r="AA564" s="6" t="s">
        <v>193</v>
      </c>
    </row>
    <row r="565" spans="1:27" s="4" customFormat="1" ht="51.95" customHeight="1">
      <c r="A565" s="5">
        <v>0</v>
      </c>
      <c r="B565" s="6" t="s">
        <v>3772</v>
      </c>
      <c r="C565" s="7">
        <v>1064.9000000000001</v>
      </c>
      <c r="D565" s="8" t="s">
        <v>3773</v>
      </c>
      <c r="E565" s="8" t="s">
        <v>3769</v>
      </c>
      <c r="F565" s="8" t="s">
        <v>3770</v>
      </c>
      <c r="G565" s="6" t="s">
        <v>121</v>
      </c>
      <c r="H565" s="6" t="s">
        <v>38</v>
      </c>
      <c r="I565" s="8" t="s">
        <v>62</v>
      </c>
      <c r="J565" s="9">
        <v>1</v>
      </c>
      <c r="K565" s="9">
        <v>237</v>
      </c>
      <c r="L565" s="9">
        <v>2022</v>
      </c>
      <c r="M565" s="8" t="s">
        <v>3774</v>
      </c>
      <c r="N565" s="8" t="s">
        <v>41</v>
      </c>
      <c r="O565" s="8" t="s">
        <v>64</v>
      </c>
      <c r="P565" s="6" t="s">
        <v>65</v>
      </c>
      <c r="Q565" s="8" t="s">
        <v>66</v>
      </c>
      <c r="R565" s="10" t="s">
        <v>3775</v>
      </c>
      <c r="S565" s="11"/>
      <c r="T565" s="6"/>
      <c r="U565" s="28" t="str">
        <f>HYPERLINK("https://media.infra-m.ru/1891/1891649/cover/1891649.jpg", "Обложка")</f>
        <v>Обложка</v>
      </c>
      <c r="V565" s="28" t="str">
        <f>HYPERLINK("https://znanium.com/catalog/product/1232333", "Ознакомиться")</f>
        <v>Ознакомиться</v>
      </c>
      <c r="W565" s="8" t="s">
        <v>313</v>
      </c>
      <c r="X565" s="6"/>
      <c r="Y565" s="6"/>
      <c r="Z565" s="6"/>
      <c r="AA565" s="6" t="s">
        <v>161</v>
      </c>
    </row>
    <row r="566" spans="1:27" s="4" customFormat="1" ht="51.95" customHeight="1">
      <c r="A566" s="5">
        <v>0</v>
      </c>
      <c r="B566" s="6" t="s">
        <v>3776</v>
      </c>
      <c r="C566" s="7">
        <v>2890</v>
      </c>
      <c r="D566" s="8" t="s">
        <v>3777</v>
      </c>
      <c r="E566" s="8" t="s">
        <v>3778</v>
      </c>
      <c r="F566" s="8" t="s">
        <v>3770</v>
      </c>
      <c r="G566" s="6" t="s">
        <v>121</v>
      </c>
      <c r="H566" s="6" t="s">
        <v>38</v>
      </c>
      <c r="I566" s="8" t="s">
        <v>130</v>
      </c>
      <c r="J566" s="9">
        <v>1</v>
      </c>
      <c r="K566" s="9">
        <v>613</v>
      </c>
      <c r="L566" s="9">
        <v>2024</v>
      </c>
      <c r="M566" s="8" t="s">
        <v>3779</v>
      </c>
      <c r="N566" s="8" t="s">
        <v>41</v>
      </c>
      <c r="O566" s="8" t="s">
        <v>64</v>
      </c>
      <c r="P566" s="6" t="s">
        <v>65</v>
      </c>
      <c r="Q566" s="8" t="s">
        <v>66</v>
      </c>
      <c r="R566" s="10" t="s">
        <v>3780</v>
      </c>
      <c r="S566" s="11" t="s">
        <v>3781</v>
      </c>
      <c r="T566" s="6"/>
      <c r="U566" s="28" t="str">
        <f>HYPERLINK("https://media.infra-m.ru/2100/2100469/cover/2100469.jpg", "Обложка")</f>
        <v>Обложка</v>
      </c>
      <c r="V566" s="28" t="str">
        <f>HYPERLINK("https://znanium.com/catalog/product/2100469", "Ознакомиться")</f>
        <v>Ознакомиться</v>
      </c>
      <c r="W566" s="8" t="s">
        <v>313</v>
      </c>
      <c r="X566" s="6"/>
      <c r="Y566" s="6"/>
      <c r="Z566" s="6"/>
      <c r="AA566" s="6" t="s">
        <v>161</v>
      </c>
    </row>
    <row r="567" spans="1:27" s="4" customFormat="1" ht="51.95" customHeight="1">
      <c r="A567" s="5">
        <v>0</v>
      </c>
      <c r="B567" s="6" t="s">
        <v>3782</v>
      </c>
      <c r="C567" s="13">
        <v>774.9</v>
      </c>
      <c r="D567" s="8" t="s">
        <v>3783</v>
      </c>
      <c r="E567" s="8" t="s">
        <v>3784</v>
      </c>
      <c r="F567" s="8" t="s">
        <v>3785</v>
      </c>
      <c r="G567" s="6" t="s">
        <v>121</v>
      </c>
      <c r="H567" s="6" t="s">
        <v>2037</v>
      </c>
      <c r="I567" s="8" t="s">
        <v>3786</v>
      </c>
      <c r="J567" s="9">
        <v>20</v>
      </c>
      <c r="K567" s="9">
        <v>352</v>
      </c>
      <c r="L567" s="9">
        <v>2016</v>
      </c>
      <c r="M567" s="8" t="s">
        <v>3787</v>
      </c>
      <c r="N567" s="8" t="s">
        <v>41</v>
      </c>
      <c r="O567" s="8" t="s">
        <v>64</v>
      </c>
      <c r="P567" s="6" t="s">
        <v>85</v>
      </c>
      <c r="Q567" s="8" t="s">
        <v>66</v>
      </c>
      <c r="R567" s="10" t="s">
        <v>2958</v>
      </c>
      <c r="S567" s="11" t="s">
        <v>3788</v>
      </c>
      <c r="T567" s="6"/>
      <c r="U567" s="28" t="str">
        <f>HYPERLINK("https://media.infra-m.ru/0516/0516142/cover/516142.jpg", "Обложка")</f>
        <v>Обложка</v>
      </c>
      <c r="V567" s="28" t="str">
        <f>HYPERLINK("https://znanium.com/catalog/product/1831182", "Ознакомиться")</f>
        <v>Ознакомиться</v>
      </c>
      <c r="W567" s="8" t="s">
        <v>3789</v>
      </c>
      <c r="X567" s="6"/>
      <c r="Y567" s="6"/>
      <c r="Z567" s="6"/>
      <c r="AA567" s="6" t="s">
        <v>269</v>
      </c>
    </row>
    <row r="568" spans="1:27" s="4" customFormat="1" ht="42" customHeight="1">
      <c r="A568" s="5">
        <v>0</v>
      </c>
      <c r="B568" s="6" t="s">
        <v>3790</v>
      </c>
      <c r="C568" s="13">
        <v>520</v>
      </c>
      <c r="D568" s="8" t="s">
        <v>3791</v>
      </c>
      <c r="E568" s="8" t="s">
        <v>3792</v>
      </c>
      <c r="F568" s="8" t="s">
        <v>3793</v>
      </c>
      <c r="G568" s="6" t="s">
        <v>52</v>
      </c>
      <c r="H568" s="6" t="s">
        <v>38</v>
      </c>
      <c r="I568" s="8" t="s">
        <v>1102</v>
      </c>
      <c r="J568" s="9">
        <v>1</v>
      </c>
      <c r="K568" s="9">
        <v>152</v>
      </c>
      <c r="L568" s="9">
        <v>2019</v>
      </c>
      <c r="M568" s="8" t="s">
        <v>3794</v>
      </c>
      <c r="N568" s="8" t="s">
        <v>41</v>
      </c>
      <c r="O568" s="8" t="s">
        <v>64</v>
      </c>
      <c r="P568" s="6" t="s">
        <v>43</v>
      </c>
      <c r="Q568" s="8" t="s">
        <v>44</v>
      </c>
      <c r="R568" s="10"/>
      <c r="S568" s="11"/>
      <c r="T568" s="6"/>
      <c r="U568" s="28" t="str">
        <f>HYPERLINK("https://media.infra-m.ru/0988/0988862/cover/988862.jpg", "Обложка")</f>
        <v>Обложка</v>
      </c>
      <c r="V568" s="12"/>
      <c r="W568" s="8" t="s">
        <v>463</v>
      </c>
      <c r="X568" s="6"/>
      <c r="Y568" s="6"/>
      <c r="Z568" s="6"/>
      <c r="AA568" s="6" t="s">
        <v>91</v>
      </c>
    </row>
    <row r="569" spans="1:27" s="4" customFormat="1" ht="51.95" customHeight="1">
      <c r="A569" s="5">
        <v>0</v>
      </c>
      <c r="B569" s="6" t="s">
        <v>3795</v>
      </c>
      <c r="C569" s="13">
        <v>654</v>
      </c>
      <c r="D569" s="8" t="s">
        <v>3796</v>
      </c>
      <c r="E569" s="8" t="s">
        <v>3797</v>
      </c>
      <c r="F569" s="8" t="s">
        <v>3798</v>
      </c>
      <c r="G569" s="6" t="s">
        <v>52</v>
      </c>
      <c r="H569" s="6" t="s">
        <v>38</v>
      </c>
      <c r="I569" s="8" t="s">
        <v>243</v>
      </c>
      <c r="J569" s="9">
        <v>1</v>
      </c>
      <c r="K569" s="9">
        <v>134</v>
      </c>
      <c r="L569" s="9">
        <v>2023</v>
      </c>
      <c r="M569" s="8" t="s">
        <v>3799</v>
      </c>
      <c r="N569" s="8" t="s">
        <v>41</v>
      </c>
      <c r="O569" s="8" t="s">
        <v>64</v>
      </c>
      <c r="P569" s="6" t="s">
        <v>65</v>
      </c>
      <c r="Q569" s="8" t="s">
        <v>66</v>
      </c>
      <c r="R569" s="10" t="s">
        <v>2416</v>
      </c>
      <c r="S569" s="11" t="s">
        <v>3800</v>
      </c>
      <c r="T569" s="6"/>
      <c r="U569" s="28" t="str">
        <f>HYPERLINK("https://media.infra-m.ru/2111/2111389/cover/2111389.jpg", "Обложка")</f>
        <v>Обложка</v>
      </c>
      <c r="V569" s="28" t="str">
        <f>HYPERLINK("https://znanium.com/catalog/product/2111371", "Ознакомиться")</f>
        <v>Ознакомиться</v>
      </c>
      <c r="W569" s="8"/>
      <c r="X569" s="6"/>
      <c r="Y569" s="6"/>
      <c r="Z569" s="6"/>
      <c r="AA569" s="6" t="s">
        <v>70</v>
      </c>
    </row>
    <row r="570" spans="1:27" s="4" customFormat="1" ht="51.95" customHeight="1">
      <c r="A570" s="5">
        <v>0</v>
      </c>
      <c r="B570" s="6" t="s">
        <v>3801</v>
      </c>
      <c r="C570" s="13">
        <v>850</v>
      </c>
      <c r="D570" s="8" t="s">
        <v>3802</v>
      </c>
      <c r="E570" s="8" t="s">
        <v>3803</v>
      </c>
      <c r="F570" s="8" t="s">
        <v>3804</v>
      </c>
      <c r="G570" s="6" t="s">
        <v>52</v>
      </c>
      <c r="H570" s="6" t="s">
        <v>38</v>
      </c>
      <c r="I570" s="8" t="s">
        <v>130</v>
      </c>
      <c r="J570" s="9">
        <v>1</v>
      </c>
      <c r="K570" s="9">
        <v>185</v>
      </c>
      <c r="L570" s="9">
        <v>2023</v>
      </c>
      <c r="M570" s="8" t="s">
        <v>3805</v>
      </c>
      <c r="N570" s="8" t="s">
        <v>41</v>
      </c>
      <c r="O570" s="8" t="s">
        <v>64</v>
      </c>
      <c r="P570" s="6" t="s">
        <v>65</v>
      </c>
      <c r="Q570" s="8" t="s">
        <v>132</v>
      </c>
      <c r="R570" s="10" t="s">
        <v>2416</v>
      </c>
      <c r="S570" s="11" t="s">
        <v>3806</v>
      </c>
      <c r="T570" s="6"/>
      <c r="U570" s="28" t="str">
        <f>HYPERLINK("https://media.infra-m.ru/2053/2053224/cover/2053224.jpg", "Обложка")</f>
        <v>Обложка</v>
      </c>
      <c r="V570" s="28" t="str">
        <f>HYPERLINK("https://znanium.com/catalog/product/2053224", "Ознакомиться")</f>
        <v>Ознакомиться</v>
      </c>
      <c r="W570" s="8" t="s">
        <v>286</v>
      </c>
      <c r="X570" s="6"/>
      <c r="Y570" s="6"/>
      <c r="Z570" s="6"/>
      <c r="AA570" s="6" t="s">
        <v>57</v>
      </c>
    </row>
    <row r="571" spans="1:27" s="4" customFormat="1" ht="51.95" customHeight="1">
      <c r="A571" s="5">
        <v>0</v>
      </c>
      <c r="B571" s="6" t="s">
        <v>3807</v>
      </c>
      <c r="C571" s="7">
        <v>1140</v>
      </c>
      <c r="D571" s="8" t="s">
        <v>3808</v>
      </c>
      <c r="E571" s="8" t="s">
        <v>3809</v>
      </c>
      <c r="F571" s="8" t="s">
        <v>3810</v>
      </c>
      <c r="G571" s="6" t="s">
        <v>37</v>
      </c>
      <c r="H571" s="6" t="s">
        <v>38</v>
      </c>
      <c r="I571" s="8" t="s">
        <v>3811</v>
      </c>
      <c r="J571" s="9">
        <v>1</v>
      </c>
      <c r="K571" s="9">
        <v>247</v>
      </c>
      <c r="L571" s="9">
        <v>2024</v>
      </c>
      <c r="M571" s="8" t="s">
        <v>3812</v>
      </c>
      <c r="N571" s="8" t="s">
        <v>41</v>
      </c>
      <c r="O571" s="8" t="s">
        <v>64</v>
      </c>
      <c r="P571" s="6" t="s">
        <v>65</v>
      </c>
      <c r="Q571" s="8" t="s">
        <v>132</v>
      </c>
      <c r="R571" s="10" t="s">
        <v>3813</v>
      </c>
      <c r="S571" s="11" t="s">
        <v>3814</v>
      </c>
      <c r="T571" s="6"/>
      <c r="U571" s="28" t="str">
        <f>HYPERLINK("https://media.infra-m.ru/2118/2118063/cover/2118063.jpg", "Обложка")</f>
        <v>Обложка</v>
      </c>
      <c r="V571" s="28" t="str">
        <f>HYPERLINK("https://znanium.com/catalog/product/2118063", "Ознакомиться")</f>
        <v>Ознакомиться</v>
      </c>
      <c r="W571" s="8" t="s">
        <v>2426</v>
      </c>
      <c r="X571" s="6"/>
      <c r="Y571" s="6"/>
      <c r="Z571" s="6"/>
      <c r="AA571" s="6" t="s">
        <v>574</v>
      </c>
    </row>
    <row r="572" spans="1:27" s="4" customFormat="1" ht="51.95" customHeight="1">
      <c r="A572" s="5">
        <v>0</v>
      </c>
      <c r="B572" s="6" t="s">
        <v>3815</v>
      </c>
      <c r="C572" s="13">
        <v>840</v>
      </c>
      <c r="D572" s="8" t="s">
        <v>3816</v>
      </c>
      <c r="E572" s="8" t="s">
        <v>3817</v>
      </c>
      <c r="F572" s="8" t="s">
        <v>3818</v>
      </c>
      <c r="G572" s="6" t="s">
        <v>52</v>
      </c>
      <c r="H572" s="6" t="s">
        <v>38</v>
      </c>
      <c r="I572" s="8" t="s">
        <v>3819</v>
      </c>
      <c r="J572" s="9">
        <v>1</v>
      </c>
      <c r="K572" s="9">
        <v>182</v>
      </c>
      <c r="L572" s="9">
        <v>2024</v>
      </c>
      <c r="M572" s="8" t="s">
        <v>3820</v>
      </c>
      <c r="N572" s="8" t="s">
        <v>41</v>
      </c>
      <c r="O572" s="8" t="s">
        <v>64</v>
      </c>
      <c r="P572" s="6" t="s">
        <v>85</v>
      </c>
      <c r="Q572" s="8" t="s">
        <v>132</v>
      </c>
      <c r="R572" s="10" t="s">
        <v>3821</v>
      </c>
      <c r="S572" s="11" t="s">
        <v>3822</v>
      </c>
      <c r="T572" s="6"/>
      <c r="U572" s="28" t="str">
        <f>HYPERLINK("https://media.infra-m.ru/2080/2080565/cover/2080565.jpg", "Обложка")</f>
        <v>Обложка</v>
      </c>
      <c r="V572" s="28" t="str">
        <f>HYPERLINK("https://znanium.com/catalog/product/1859821", "Ознакомиться")</f>
        <v>Ознакомиться</v>
      </c>
      <c r="W572" s="8" t="s">
        <v>46</v>
      </c>
      <c r="X572" s="6"/>
      <c r="Y572" s="6"/>
      <c r="Z572" s="6"/>
      <c r="AA572" s="6" t="s">
        <v>1357</v>
      </c>
    </row>
    <row r="573" spans="1:27" s="4" customFormat="1" ht="42" customHeight="1">
      <c r="A573" s="5">
        <v>0</v>
      </c>
      <c r="B573" s="6" t="s">
        <v>3823</v>
      </c>
      <c r="C573" s="13">
        <v>700</v>
      </c>
      <c r="D573" s="8" t="s">
        <v>3824</v>
      </c>
      <c r="E573" s="8" t="s">
        <v>3825</v>
      </c>
      <c r="F573" s="8" t="s">
        <v>3826</v>
      </c>
      <c r="G573" s="6" t="s">
        <v>121</v>
      </c>
      <c r="H573" s="6" t="s">
        <v>38</v>
      </c>
      <c r="I573" s="8" t="s">
        <v>39</v>
      </c>
      <c r="J573" s="9">
        <v>1</v>
      </c>
      <c r="K573" s="9">
        <v>225</v>
      </c>
      <c r="L573" s="9">
        <v>2017</v>
      </c>
      <c r="M573" s="8" t="s">
        <v>3827</v>
      </c>
      <c r="N573" s="8" t="s">
        <v>41</v>
      </c>
      <c r="O573" s="8" t="s">
        <v>64</v>
      </c>
      <c r="P573" s="6" t="s">
        <v>43</v>
      </c>
      <c r="Q573" s="8" t="s">
        <v>44</v>
      </c>
      <c r="R573" s="10" t="s">
        <v>915</v>
      </c>
      <c r="S573" s="11"/>
      <c r="T573" s="6"/>
      <c r="U573" s="28" t="str">
        <f>HYPERLINK("https://media.infra-m.ru/0635/0635224/cover/635224.jpg", "Обложка")</f>
        <v>Обложка</v>
      </c>
      <c r="V573" s="28" t="str">
        <f>HYPERLINK("https://znanium.com/catalog/product/635224", "Ознакомиться")</f>
        <v>Ознакомиться</v>
      </c>
      <c r="W573" s="8" t="s">
        <v>582</v>
      </c>
      <c r="X573" s="6"/>
      <c r="Y573" s="6"/>
      <c r="Z573" s="6"/>
      <c r="AA573" s="6" t="s">
        <v>3828</v>
      </c>
    </row>
    <row r="574" spans="1:27" s="4" customFormat="1" ht="51.95" customHeight="1">
      <c r="A574" s="5">
        <v>0</v>
      </c>
      <c r="B574" s="6" t="s">
        <v>3829</v>
      </c>
      <c r="C574" s="13">
        <v>564</v>
      </c>
      <c r="D574" s="8" t="s">
        <v>3830</v>
      </c>
      <c r="E574" s="8" t="s">
        <v>3831</v>
      </c>
      <c r="F574" s="8" t="s">
        <v>2468</v>
      </c>
      <c r="G574" s="6" t="s">
        <v>52</v>
      </c>
      <c r="H574" s="6" t="s">
        <v>207</v>
      </c>
      <c r="I574" s="8"/>
      <c r="J574" s="9">
        <v>1</v>
      </c>
      <c r="K574" s="9">
        <v>107</v>
      </c>
      <c r="L574" s="9">
        <v>2023</v>
      </c>
      <c r="M574" s="8" t="s">
        <v>3832</v>
      </c>
      <c r="N574" s="8" t="s">
        <v>41</v>
      </c>
      <c r="O574" s="8" t="s">
        <v>64</v>
      </c>
      <c r="P574" s="6" t="s">
        <v>65</v>
      </c>
      <c r="Q574" s="8" t="s">
        <v>132</v>
      </c>
      <c r="R574" s="10" t="s">
        <v>3833</v>
      </c>
      <c r="S574" s="11" t="s">
        <v>2471</v>
      </c>
      <c r="T574" s="6"/>
      <c r="U574" s="28" t="str">
        <f>HYPERLINK("https://media.infra-m.ru/2057/2057730/cover/2057730.jpg", "Обложка")</f>
        <v>Обложка</v>
      </c>
      <c r="V574" s="28" t="str">
        <f>HYPERLINK("https://znanium.com/catalog/product/2123406", "Ознакомиться")</f>
        <v>Ознакомиться</v>
      </c>
      <c r="W574" s="8" t="s">
        <v>339</v>
      </c>
      <c r="X574" s="6"/>
      <c r="Y574" s="6" t="s">
        <v>30</v>
      </c>
      <c r="Z574" s="6"/>
      <c r="AA574" s="6" t="s">
        <v>1324</v>
      </c>
    </row>
    <row r="575" spans="1:27" s="4" customFormat="1" ht="51.95" customHeight="1">
      <c r="A575" s="5">
        <v>0</v>
      </c>
      <c r="B575" s="6" t="s">
        <v>3834</v>
      </c>
      <c r="C575" s="7">
        <v>1084.9000000000001</v>
      </c>
      <c r="D575" s="8" t="s">
        <v>3835</v>
      </c>
      <c r="E575" s="8" t="s">
        <v>3836</v>
      </c>
      <c r="F575" s="8" t="s">
        <v>3837</v>
      </c>
      <c r="G575" s="6" t="s">
        <v>121</v>
      </c>
      <c r="H575" s="6" t="s">
        <v>317</v>
      </c>
      <c r="I575" s="8" t="s">
        <v>62</v>
      </c>
      <c r="J575" s="9">
        <v>1</v>
      </c>
      <c r="K575" s="9">
        <v>240</v>
      </c>
      <c r="L575" s="9">
        <v>2023</v>
      </c>
      <c r="M575" s="8" t="s">
        <v>3838</v>
      </c>
      <c r="N575" s="8" t="s">
        <v>41</v>
      </c>
      <c r="O575" s="8" t="s">
        <v>54</v>
      </c>
      <c r="P575" s="6" t="s">
        <v>85</v>
      </c>
      <c r="Q575" s="8" t="s">
        <v>66</v>
      </c>
      <c r="R575" s="10" t="s">
        <v>3839</v>
      </c>
      <c r="S575" s="11"/>
      <c r="T575" s="6"/>
      <c r="U575" s="28" t="str">
        <f>HYPERLINK("https://media.infra-m.ru/1894/1894527/cover/1894527.jpg", "Обложка")</f>
        <v>Обложка</v>
      </c>
      <c r="V575" s="28" t="str">
        <f>HYPERLINK("https://znanium.com/catalog/product/961832", "Ознакомиться")</f>
        <v>Ознакомиться</v>
      </c>
      <c r="W575" s="8" t="s">
        <v>1423</v>
      </c>
      <c r="X575" s="6"/>
      <c r="Y575" s="6"/>
      <c r="Z575" s="6"/>
      <c r="AA575" s="6" t="s">
        <v>320</v>
      </c>
    </row>
    <row r="576" spans="1:27" s="4" customFormat="1" ht="42" customHeight="1">
      <c r="A576" s="5">
        <v>0</v>
      </c>
      <c r="B576" s="6" t="s">
        <v>3840</v>
      </c>
      <c r="C576" s="7">
        <v>1290</v>
      </c>
      <c r="D576" s="8" t="s">
        <v>3841</v>
      </c>
      <c r="E576" s="8" t="s">
        <v>3842</v>
      </c>
      <c r="F576" s="8" t="s">
        <v>3843</v>
      </c>
      <c r="G576" s="6" t="s">
        <v>52</v>
      </c>
      <c r="H576" s="6" t="s">
        <v>38</v>
      </c>
      <c r="I576" s="8" t="s">
        <v>39</v>
      </c>
      <c r="J576" s="9">
        <v>1</v>
      </c>
      <c r="K576" s="9">
        <v>326</v>
      </c>
      <c r="L576" s="9">
        <v>2022</v>
      </c>
      <c r="M576" s="8" t="s">
        <v>3844</v>
      </c>
      <c r="N576" s="8" t="s">
        <v>41</v>
      </c>
      <c r="O576" s="8" t="s">
        <v>64</v>
      </c>
      <c r="P576" s="6" t="s">
        <v>43</v>
      </c>
      <c r="Q576" s="8" t="s">
        <v>44</v>
      </c>
      <c r="R576" s="10" t="s">
        <v>3845</v>
      </c>
      <c r="S576" s="11"/>
      <c r="T576" s="6"/>
      <c r="U576" s="28" t="str">
        <f>HYPERLINK("https://media.infra-m.ru/1836/1836246/cover/1836246.jpg", "Обложка")</f>
        <v>Обложка</v>
      </c>
      <c r="V576" s="28" t="str">
        <f>HYPERLINK("https://znanium.com/catalog/product/1836246", "Ознакомиться")</f>
        <v>Ознакомиться</v>
      </c>
      <c r="W576" s="8" t="s">
        <v>3846</v>
      </c>
      <c r="X576" s="6"/>
      <c r="Y576" s="6"/>
      <c r="Z576" s="6"/>
      <c r="AA576" s="6" t="s">
        <v>78</v>
      </c>
    </row>
    <row r="577" spans="1:27" s="4" customFormat="1" ht="51.95" customHeight="1">
      <c r="A577" s="5">
        <v>0</v>
      </c>
      <c r="B577" s="6" t="s">
        <v>3847</v>
      </c>
      <c r="C577" s="13">
        <v>750</v>
      </c>
      <c r="D577" s="8" t="s">
        <v>3848</v>
      </c>
      <c r="E577" s="8" t="s">
        <v>3849</v>
      </c>
      <c r="F577" s="8" t="s">
        <v>3850</v>
      </c>
      <c r="G577" s="6" t="s">
        <v>121</v>
      </c>
      <c r="H577" s="6" t="s">
        <v>38</v>
      </c>
      <c r="I577" s="8" t="s">
        <v>3851</v>
      </c>
      <c r="J577" s="9">
        <v>1</v>
      </c>
      <c r="K577" s="9">
        <v>159</v>
      </c>
      <c r="L577" s="9">
        <v>2023</v>
      </c>
      <c r="M577" s="8" t="s">
        <v>3852</v>
      </c>
      <c r="N577" s="8" t="s">
        <v>41</v>
      </c>
      <c r="O577" s="8" t="s">
        <v>64</v>
      </c>
      <c r="P577" s="6" t="s">
        <v>65</v>
      </c>
      <c r="Q577" s="8" t="s">
        <v>66</v>
      </c>
      <c r="R577" s="10" t="s">
        <v>3853</v>
      </c>
      <c r="S577" s="11" t="s">
        <v>3854</v>
      </c>
      <c r="T577" s="6"/>
      <c r="U577" s="28" t="str">
        <f>HYPERLINK("https://media.infra-m.ru/1908/1908970/cover/1908970.jpg", "Обложка")</f>
        <v>Обложка</v>
      </c>
      <c r="V577" s="28" t="str">
        <f>HYPERLINK("https://znanium.com/catalog/product/1908970", "Ознакомиться")</f>
        <v>Ознакомиться</v>
      </c>
      <c r="W577" s="8" t="s">
        <v>2426</v>
      </c>
      <c r="X577" s="6" t="s">
        <v>1337</v>
      </c>
      <c r="Y577" s="6"/>
      <c r="Z577" s="6"/>
      <c r="AA577" s="6" t="s">
        <v>574</v>
      </c>
    </row>
    <row r="578" spans="1:27" s="4" customFormat="1" ht="42" customHeight="1">
      <c r="A578" s="5">
        <v>0</v>
      </c>
      <c r="B578" s="6" t="s">
        <v>3855</v>
      </c>
      <c r="C578" s="13">
        <v>704.9</v>
      </c>
      <c r="D578" s="8" t="s">
        <v>3856</v>
      </c>
      <c r="E578" s="8" t="s">
        <v>3857</v>
      </c>
      <c r="F578" s="8" t="s">
        <v>3858</v>
      </c>
      <c r="G578" s="6" t="s">
        <v>121</v>
      </c>
      <c r="H578" s="6" t="s">
        <v>38</v>
      </c>
      <c r="I578" s="8" t="s">
        <v>39</v>
      </c>
      <c r="J578" s="9">
        <v>1</v>
      </c>
      <c r="K578" s="9">
        <v>157</v>
      </c>
      <c r="L578" s="9">
        <v>2023</v>
      </c>
      <c r="M578" s="8" t="s">
        <v>3859</v>
      </c>
      <c r="N578" s="8" t="s">
        <v>41</v>
      </c>
      <c r="O578" s="8" t="s">
        <v>64</v>
      </c>
      <c r="P578" s="6" t="s">
        <v>43</v>
      </c>
      <c r="Q578" s="8" t="s">
        <v>44</v>
      </c>
      <c r="R578" s="10" t="s">
        <v>3860</v>
      </c>
      <c r="S578" s="11"/>
      <c r="T578" s="6"/>
      <c r="U578" s="28" t="str">
        <f>HYPERLINK("https://media.infra-m.ru/2002/2002611/cover/2002611.jpg", "Обложка")</f>
        <v>Обложка</v>
      </c>
      <c r="V578" s="28" t="str">
        <f>HYPERLINK("https://znanium.com/catalog/product/1047177", "Ознакомиться")</f>
        <v>Ознакомиться</v>
      </c>
      <c r="W578" s="8" t="s">
        <v>500</v>
      </c>
      <c r="X578" s="6"/>
      <c r="Y578" s="6"/>
      <c r="Z578" s="6"/>
      <c r="AA578" s="6" t="s">
        <v>320</v>
      </c>
    </row>
    <row r="579" spans="1:27" s="4" customFormat="1" ht="51.95" customHeight="1">
      <c r="A579" s="5">
        <v>0</v>
      </c>
      <c r="B579" s="6" t="s">
        <v>3861</v>
      </c>
      <c r="C579" s="13">
        <v>744.9</v>
      </c>
      <c r="D579" s="8" t="s">
        <v>3862</v>
      </c>
      <c r="E579" s="8" t="s">
        <v>3863</v>
      </c>
      <c r="F579" s="8" t="s">
        <v>3864</v>
      </c>
      <c r="G579" s="6" t="s">
        <v>121</v>
      </c>
      <c r="H579" s="6" t="s">
        <v>38</v>
      </c>
      <c r="I579" s="8" t="s">
        <v>62</v>
      </c>
      <c r="J579" s="9">
        <v>1</v>
      </c>
      <c r="K579" s="9">
        <v>134</v>
      </c>
      <c r="L579" s="9">
        <v>2022</v>
      </c>
      <c r="M579" s="8" t="s">
        <v>3865</v>
      </c>
      <c r="N579" s="8" t="s">
        <v>41</v>
      </c>
      <c r="O579" s="8" t="s">
        <v>54</v>
      </c>
      <c r="P579" s="6" t="s">
        <v>65</v>
      </c>
      <c r="Q579" s="8" t="s">
        <v>66</v>
      </c>
      <c r="R579" s="10" t="s">
        <v>3866</v>
      </c>
      <c r="S579" s="11" t="s">
        <v>3867</v>
      </c>
      <c r="T579" s="6"/>
      <c r="U579" s="28" t="str">
        <f>HYPERLINK("https://media.infra-m.ru/1855/1855592/cover/1855592.jpg", "Обложка")</f>
        <v>Обложка</v>
      </c>
      <c r="V579" s="28" t="str">
        <f>HYPERLINK("https://znanium.com/catalog/product/1242226", "Ознакомиться")</f>
        <v>Ознакомиться</v>
      </c>
      <c r="W579" s="8"/>
      <c r="X579" s="6"/>
      <c r="Y579" s="6"/>
      <c r="Z579" s="6"/>
      <c r="AA579" s="6" t="s">
        <v>78</v>
      </c>
    </row>
    <row r="580" spans="1:27" s="4" customFormat="1" ht="51.95" customHeight="1">
      <c r="A580" s="5">
        <v>0</v>
      </c>
      <c r="B580" s="6" t="s">
        <v>3868</v>
      </c>
      <c r="C580" s="13">
        <v>740</v>
      </c>
      <c r="D580" s="8" t="s">
        <v>3869</v>
      </c>
      <c r="E580" s="8" t="s">
        <v>3863</v>
      </c>
      <c r="F580" s="8" t="s">
        <v>3864</v>
      </c>
      <c r="G580" s="6" t="s">
        <v>121</v>
      </c>
      <c r="H580" s="6" t="s">
        <v>38</v>
      </c>
      <c r="I580" s="8" t="s">
        <v>187</v>
      </c>
      <c r="J580" s="9">
        <v>1</v>
      </c>
      <c r="K580" s="9">
        <v>134</v>
      </c>
      <c r="L580" s="9">
        <v>2022</v>
      </c>
      <c r="M580" s="8" t="s">
        <v>3870</v>
      </c>
      <c r="N580" s="8" t="s">
        <v>41</v>
      </c>
      <c r="O580" s="8" t="s">
        <v>54</v>
      </c>
      <c r="P580" s="6" t="s">
        <v>65</v>
      </c>
      <c r="Q580" s="8" t="s">
        <v>189</v>
      </c>
      <c r="R580" s="10" t="s">
        <v>3871</v>
      </c>
      <c r="S580" s="11" t="s">
        <v>3872</v>
      </c>
      <c r="T580" s="6"/>
      <c r="U580" s="28" t="str">
        <f>HYPERLINK("https://media.infra-m.ru/1853/1853326/cover/1853326.jpg", "Обложка")</f>
        <v>Обложка</v>
      </c>
      <c r="V580" s="28" t="str">
        <f>HYPERLINK("https://znanium.com/catalog/product/1853326", "Ознакомиться")</f>
        <v>Ознакомиться</v>
      </c>
      <c r="W580" s="8"/>
      <c r="X580" s="6"/>
      <c r="Y580" s="6"/>
      <c r="Z580" s="6" t="s">
        <v>192</v>
      </c>
      <c r="AA580" s="6" t="s">
        <v>78</v>
      </c>
    </row>
    <row r="581" spans="1:27" s="4" customFormat="1" ht="51.95" customHeight="1">
      <c r="A581" s="5">
        <v>0</v>
      </c>
      <c r="B581" s="6" t="s">
        <v>3873</v>
      </c>
      <c r="C581" s="7">
        <v>1260</v>
      </c>
      <c r="D581" s="8" t="s">
        <v>3874</v>
      </c>
      <c r="E581" s="8" t="s">
        <v>3875</v>
      </c>
      <c r="F581" s="8" t="s">
        <v>3876</v>
      </c>
      <c r="G581" s="6" t="s">
        <v>37</v>
      </c>
      <c r="H581" s="6" t="s">
        <v>38</v>
      </c>
      <c r="I581" s="8" t="s">
        <v>130</v>
      </c>
      <c r="J581" s="9">
        <v>1</v>
      </c>
      <c r="K581" s="9">
        <v>280</v>
      </c>
      <c r="L581" s="9">
        <v>2023</v>
      </c>
      <c r="M581" s="8" t="s">
        <v>3877</v>
      </c>
      <c r="N581" s="8" t="s">
        <v>41</v>
      </c>
      <c r="O581" s="8" t="s">
        <v>64</v>
      </c>
      <c r="P581" s="6" t="s">
        <v>65</v>
      </c>
      <c r="Q581" s="8" t="s">
        <v>132</v>
      </c>
      <c r="R581" s="10" t="s">
        <v>3878</v>
      </c>
      <c r="S581" s="11" t="s">
        <v>3879</v>
      </c>
      <c r="T581" s="6"/>
      <c r="U581" s="28" t="str">
        <f>HYPERLINK("https://media.infra-m.ru/2024/2024025/cover/2024025.jpg", "Обложка")</f>
        <v>Обложка</v>
      </c>
      <c r="V581" s="28" t="str">
        <f>HYPERLINK("https://znanium.com/catalog/product/1904026", "Ознакомиться")</f>
        <v>Ознакомиться</v>
      </c>
      <c r="W581" s="8" t="s">
        <v>730</v>
      </c>
      <c r="X581" s="6"/>
      <c r="Y581" s="6"/>
      <c r="Z581" s="6"/>
      <c r="AA581" s="6" t="s">
        <v>193</v>
      </c>
    </row>
    <row r="582" spans="1:27" s="4" customFormat="1" ht="42" customHeight="1">
      <c r="A582" s="5">
        <v>0</v>
      </c>
      <c r="B582" s="6" t="s">
        <v>3880</v>
      </c>
      <c r="C582" s="13">
        <v>870</v>
      </c>
      <c r="D582" s="8" t="s">
        <v>3881</v>
      </c>
      <c r="E582" s="8" t="s">
        <v>3882</v>
      </c>
      <c r="F582" s="8" t="s">
        <v>3883</v>
      </c>
      <c r="G582" s="6" t="s">
        <v>52</v>
      </c>
      <c r="H582" s="6" t="s">
        <v>38</v>
      </c>
      <c r="I582" s="8" t="s">
        <v>625</v>
      </c>
      <c r="J582" s="9">
        <v>1</v>
      </c>
      <c r="K582" s="9">
        <v>189</v>
      </c>
      <c r="L582" s="9">
        <v>2024</v>
      </c>
      <c r="M582" s="8" t="s">
        <v>3884</v>
      </c>
      <c r="N582" s="8" t="s">
        <v>41</v>
      </c>
      <c r="O582" s="8" t="s">
        <v>64</v>
      </c>
      <c r="P582" s="6" t="s">
        <v>43</v>
      </c>
      <c r="Q582" s="8" t="s">
        <v>44</v>
      </c>
      <c r="R582" s="10" t="s">
        <v>3885</v>
      </c>
      <c r="S582" s="11"/>
      <c r="T582" s="6"/>
      <c r="U582" s="28" t="str">
        <f>HYPERLINK("https://media.infra-m.ru/2102/2102686/cover/2102686.jpg", "Обложка")</f>
        <v>Обложка</v>
      </c>
      <c r="V582" s="28" t="str">
        <f>HYPERLINK("https://znanium.com/catalog/product/2102686", "Ознакомиться")</f>
        <v>Ознакомиться</v>
      </c>
      <c r="W582" s="8" t="s">
        <v>2172</v>
      </c>
      <c r="X582" s="6"/>
      <c r="Y582" s="6"/>
      <c r="Z582" s="6"/>
      <c r="AA582" s="6" t="s">
        <v>193</v>
      </c>
    </row>
    <row r="583" spans="1:27" s="4" customFormat="1" ht="51.95" customHeight="1">
      <c r="A583" s="5">
        <v>0</v>
      </c>
      <c r="B583" s="6" t="s">
        <v>3886</v>
      </c>
      <c r="C583" s="13">
        <v>600</v>
      </c>
      <c r="D583" s="8" t="s">
        <v>3887</v>
      </c>
      <c r="E583" s="8" t="s">
        <v>3888</v>
      </c>
      <c r="F583" s="8" t="s">
        <v>3889</v>
      </c>
      <c r="G583" s="6" t="s">
        <v>52</v>
      </c>
      <c r="H583" s="6" t="s">
        <v>38</v>
      </c>
      <c r="I583" s="8" t="s">
        <v>243</v>
      </c>
      <c r="J583" s="9">
        <v>1</v>
      </c>
      <c r="K583" s="9">
        <v>130</v>
      </c>
      <c r="L583" s="9">
        <v>2024</v>
      </c>
      <c r="M583" s="8" t="s">
        <v>3890</v>
      </c>
      <c r="N583" s="8" t="s">
        <v>41</v>
      </c>
      <c r="O583" s="8" t="s">
        <v>97</v>
      </c>
      <c r="P583" s="6" t="s">
        <v>65</v>
      </c>
      <c r="Q583" s="8" t="s">
        <v>132</v>
      </c>
      <c r="R583" s="10" t="s">
        <v>3891</v>
      </c>
      <c r="S583" s="11" t="s">
        <v>3892</v>
      </c>
      <c r="T583" s="6"/>
      <c r="U583" s="28" t="str">
        <f>HYPERLINK("https://media.infra-m.ru/2082/2082080/cover/2082080.jpg", "Обложка")</f>
        <v>Обложка</v>
      </c>
      <c r="V583" s="28" t="str">
        <f>HYPERLINK("https://znanium.com/catalog/product/2082080", "Ознакомиться")</f>
        <v>Ознакомиться</v>
      </c>
      <c r="W583" s="8" t="s">
        <v>143</v>
      </c>
      <c r="X583" s="6"/>
      <c r="Y583" s="6"/>
      <c r="Z583" s="6"/>
      <c r="AA583" s="6" t="s">
        <v>70</v>
      </c>
    </row>
    <row r="584" spans="1:27" s="4" customFormat="1" ht="51.95" customHeight="1">
      <c r="A584" s="5">
        <v>0</v>
      </c>
      <c r="B584" s="6" t="s">
        <v>3893</v>
      </c>
      <c r="C584" s="7">
        <v>1214</v>
      </c>
      <c r="D584" s="8" t="s">
        <v>3894</v>
      </c>
      <c r="E584" s="8" t="s">
        <v>3895</v>
      </c>
      <c r="F584" s="8" t="s">
        <v>3896</v>
      </c>
      <c r="G584" s="6" t="s">
        <v>52</v>
      </c>
      <c r="H584" s="6" t="s">
        <v>264</v>
      </c>
      <c r="I584" s="8" t="s">
        <v>959</v>
      </c>
      <c r="J584" s="9">
        <v>1</v>
      </c>
      <c r="K584" s="9">
        <v>264</v>
      </c>
      <c r="L584" s="9">
        <v>2024</v>
      </c>
      <c r="M584" s="8" t="s">
        <v>3897</v>
      </c>
      <c r="N584" s="8" t="s">
        <v>41</v>
      </c>
      <c r="O584" s="8" t="s">
        <v>54</v>
      </c>
      <c r="P584" s="6" t="s">
        <v>43</v>
      </c>
      <c r="Q584" s="8" t="s">
        <v>44</v>
      </c>
      <c r="R584" s="10" t="s">
        <v>3898</v>
      </c>
      <c r="S584" s="11"/>
      <c r="T584" s="6"/>
      <c r="U584" s="12"/>
      <c r="V584" s="28" t="str">
        <f>HYPERLINK("https://znanium.com/catalog/product/1567222", "Ознакомиться")</f>
        <v>Ознакомиться</v>
      </c>
      <c r="W584" s="8" t="s">
        <v>642</v>
      </c>
      <c r="X584" s="6"/>
      <c r="Y584" s="6"/>
      <c r="Z584" s="6"/>
      <c r="AA584" s="6" t="s">
        <v>100</v>
      </c>
    </row>
    <row r="585" spans="1:27" s="4" customFormat="1" ht="51.95" customHeight="1">
      <c r="A585" s="5">
        <v>0</v>
      </c>
      <c r="B585" s="6" t="s">
        <v>3899</v>
      </c>
      <c r="C585" s="7">
        <v>2304.9</v>
      </c>
      <c r="D585" s="8" t="s">
        <v>3900</v>
      </c>
      <c r="E585" s="8" t="s">
        <v>3901</v>
      </c>
      <c r="F585" s="8" t="s">
        <v>3902</v>
      </c>
      <c r="G585" s="6" t="s">
        <v>121</v>
      </c>
      <c r="H585" s="6" t="s">
        <v>207</v>
      </c>
      <c r="I585" s="8" t="s">
        <v>298</v>
      </c>
      <c r="J585" s="9">
        <v>1</v>
      </c>
      <c r="K585" s="9">
        <v>512</v>
      </c>
      <c r="L585" s="9">
        <v>2023</v>
      </c>
      <c r="M585" s="8" t="s">
        <v>3903</v>
      </c>
      <c r="N585" s="8" t="s">
        <v>41</v>
      </c>
      <c r="O585" s="8" t="s">
        <v>54</v>
      </c>
      <c r="P585" s="6" t="s">
        <v>65</v>
      </c>
      <c r="Q585" s="8" t="s">
        <v>189</v>
      </c>
      <c r="R585" s="10" t="s">
        <v>640</v>
      </c>
      <c r="S585" s="11" t="s">
        <v>841</v>
      </c>
      <c r="T585" s="6"/>
      <c r="U585" s="28" t="str">
        <f>HYPERLINK("https://media.infra-m.ru/1894/1894528/cover/1894528.jpg", "Обложка")</f>
        <v>Обложка</v>
      </c>
      <c r="V585" s="28" t="str">
        <f>HYPERLINK("https://znanium.com/catalog/product/1138798", "Ознакомиться")</f>
        <v>Ознакомиться</v>
      </c>
      <c r="W585" s="8" t="s">
        <v>359</v>
      </c>
      <c r="X585" s="6"/>
      <c r="Y585" s="6"/>
      <c r="Z585" s="6"/>
      <c r="AA585" s="6" t="s">
        <v>278</v>
      </c>
    </row>
    <row r="586" spans="1:27" s="4" customFormat="1" ht="51.95" customHeight="1">
      <c r="A586" s="5">
        <v>0</v>
      </c>
      <c r="B586" s="6" t="s">
        <v>3904</v>
      </c>
      <c r="C586" s="7">
        <v>1500</v>
      </c>
      <c r="D586" s="8" t="s">
        <v>3905</v>
      </c>
      <c r="E586" s="8" t="s">
        <v>3906</v>
      </c>
      <c r="F586" s="8" t="s">
        <v>3907</v>
      </c>
      <c r="G586" s="6" t="s">
        <v>37</v>
      </c>
      <c r="H586" s="6" t="s">
        <v>38</v>
      </c>
      <c r="I586" s="8" t="s">
        <v>130</v>
      </c>
      <c r="J586" s="9">
        <v>1</v>
      </c>
      <c r="K586" s="9">
        <v>328</v>
      </c>
      <c r="L586" s="9">
        <v>2024</v>
      </c>
      <c r="M586" s="8" t="s">
        <v>3908</v>
      </c>
      <c r="N586" s="8" t="s">
        <v>41</v>
      </c>
      <c r="O586" s="8" t="s">
        <v>64</v>
      </c>
      <c r="P586" s="6" t="s">
        <v>85</v>
      </c>
      <c r="Q586" s="8" t="s">
        <v>132</v>
      </c>
      <c r="R586" s="10" t="s">
        <v>3909</v>
      </c>
      <c r="S586" s="11" t="s">
        <v>3910</v>
      </c>
      <c r="T586" s="6"/>
      <c r="U586" s="28" t="str">
        <f>HYPERLINK("https://media.infra-m.ru/2069/2069302/cover/2069302.jpg", "Обложка")</f>
        <v>Обложка</v>
      </c>
      <c r="V586" s="28" t="str">
        <f>HYPERLINK("https://znanium.com/catalog/product/2069302", "Ознакомиться")</f>
        <v>Ознакомиться</v>
      </c>
      <c r="W586" s="8" t="s">
        <v>582</v>
      </c>
      <c r="X586" s="6"/>
      <c r="Y586" s="6"/>
      <c r="Z586" s="6"/>
      <c r="AA586" s="6" t="s">
        <v>70</v>
      </c>
    </row>
    <row r="587" spans="1:27" s="4" customFormat="1" ht="51.95" customHeight="1">
      <c r="A587" s="5">
        <v>0</v>
      </c>
      <c r="B587" s="6" t="s">
        <v>3911</v>
      </c>
      <c r="C587" s="7">
        <v>1030</v>
      </c>
      <c r="D587" s="8" t="s">
        <v>3912</v>
      </c>
      <c r="E587" s="8" t="s">
        <v>3906</v>
      </c>
      <c r="F587" s="8" t="s">
        <v>3913</v>
      </c>
      <c r="G587" s="6" t="s">
        <v>37</v>
      </c>
      <c r="H587" s="6" t="s">
        <v>38</v>
      </c>
      <c r="I587" s="8" t="s">
        <v>1767</v>
      </c>
      <c r="J587" s="9">
        <v>1</v>
      </c>
      <c r="K587" s="9">
        <v>229</v>
      </c>
      <c r="L587" s="9">
        <v>2023</v>
      </c>
      <c r="M587" s="8" t="s">
        <v>3914</v>
      </c>
      <c r="N587" s="8" t="s">
        <v>41</v>
      </c>
      <c r="O587" s="8" t="s">
        <v>64</v>
      </c>
      <c r="P587" s="6" t="s">
        <v>65</v>
      </c>
      <c r="Q587" s="8" t="s">
        <v>797</v>
      </c>
      <c r="R587" s="10" t="s">
        <v>3915</v>
      </c>
      <c r="S587" s="11" t="s">
        <v>3916</v>
      </c>
      <c r="T587" s="6"/>
      <c r="U587" s="28" t="str">
        <f>HYPERLINK("https://media.infra-m.ru/2032/2032490/cover/2032490.jpg", "Обложка")</f>
        <v>Обложка</v>
      </c>
      <c r="V587" s="12"/>
      <c r="W587" s="8" t="s">
        <v>463</v>
      </c>
      <c r="X587" s="6"/>
      <c r="Y587" s="6"/>
      <c r="Z587" s="6"/>
      <c r="AA587" s="6" t="s">
        <v>78</v>
      </c>
    </row>
    <row r="588" spans="1:27" s="4" customFormat="1" ht="42" customHeight="1">
      <c r="A588" s="5">
        <v>0</v>
      </c>
      <c r="B588" s="6" t="s">
        <v>3917</v>
      </c>
      <c r="C588" s="13">
        <v>254</v>
      </c>
      <c r="D588" s="8" t="s">
        <v>3918</v>
      </c>
      <c r="E588" s="8" t="s">
        <v>3919</v>
      </c>
      <c r="F588" s="8" t="s">
        <v>3920</v>
      </c>
      <c r="G588" s="6" t="s">
        <v>52</v>
      </c>
      <c r="H588" s="6" t="s">
        <v>122</v>
      </c>
      <c r="I588" s="8" t="s">
        <v>130</v>
      </c>
      <c r="J588" s="9">
        <v>1</v>
      </c>
      <c r="K588" s="9">
        <v>52</v>
      </c>
      <c r="L588" s="9">
        <v>2023</v>
      </c>
      <c r="M588" s="8" t="s">
        <v>3921</v>
      </c>
      <c r="N588" s="8" t="s">
        <v>41</v>
      </c>
      <c r="O588" s="8" t="s">
        <v>54</v>
      </c>
      <c r="P588" s="6" t="s">
        <v>65</v>
      </c>
      <c r="Q588" s="8" t="s">
        <v>132</v>
      </c>
      <c r="R588" s="10" t="s">
        <v>3922</v>
      </c>
      <c r="S588" s="11"/>
      <c r="T588" s="6"/>
      <c r="U588" s="28" t="str">
        <f>HYPERLINK("https://media.infra-m.ru/2044/2044329/cover/2044329.jpg", "Обложка")</f>
        <v>Обложка</v>
      </c>
      <c r="V588" s="28" t="str">
        <f>HYPERLINK("https://znanium.com/catalog/product/938078", "Ознакомиться")</f>
        <v>Ознакомиться</v>
      </c>
      <c r="W588" s="8" t="s">
        <v>849</v>
      </c>
      <c r="X588" s="6"/>
      <c r="Y588" s="6"/>
      <c r="Z588" s="6"/>
      <c r="AA588" s="6" t="s">
        <v>161</v>
      </c>
    </row>
    <row r="589" spans="1:27" s="4" customFormat="1" ht="51.95" customHeight="1">
      <c r="A589" s="5">
        <v>0</v>
      </c>
      <c r="B589" s="6" t="s">
        <v>3923</v>
      </c>
      <c r="C589" s="7">
        <v>1604</v>
      </c>
      <c r="D589" s="8" t="s">
        <v>3924</v>
      </c>
      <c r="E589" s="8" t="s">
        <v>3925</v>
      </c>
      <c r="F589" s="8" t="s">
        <v>3926</v>
      </c>
      <c r="G589" s="6" t="s">
        <v>37</v>
      </c>
      <c r="H589" s="6" t="s">
        <v>38</v>
      </c>
      <c r="I589" s="8" t="s">
        <v>62</v>
      </c>
      <c r="J589" s="9">
        <v>1</v>
      </c>
      <c r="K589" s="9">
        <v>348</v>
      </c>
      <c r="L589" s="9">
        <v>2023</v>
      </c>
      <c r="M589" s="8" t="s">
        <v>3927</v>
      </c>
      <c r="N589" s="8" t="s">
        <v>41</v>
      </c>
      <c r="O589" s="8" t="s">
        <v>64</v>
      </c>
      <c r="P589" s="6" t="s">
        <v>85</v>
      </c>
      <c r="Q589" s="8" t="s">
        <v>66</v>
      </c>
      <c r="R589" s="10" t="s">
        <v>915</v>
      </c>
      <c r="S589" s="11" t="s">
        <v>3928</v>
      </c>
      <c r="T589" s="6"/>
      <c r="U589" s="28" t="str">
        <f>HYPERLINK("https://media.infra-m.ru/2079/2079258/cover/2079258.jpg", "Обложка")</f>
        <v>Обложка</v>
      </c>
      <c r="V589" s="28" t="str">
        <f>HYPERLINK("https://znanium.com/catalog/product/2063430", "Ознакомиться")</f>
        <v>Ознакомиться</v>
      </c>
      <c r="W589" s="8" t="s">
        <v>730</v>
      </c>
      <c r="X589" s="6"/>
      <c r="Y589" s="6"/>
      <c r="Z589" s="6"/>
      <c r="AA589" s="6" t="s">
        <v>320</v>
      </c>
    </row>
    <row r="590" spans="1:27" s="4" customFormat="1" ht="42" customHeight="1">
      <c r="A590" s="5">
        <v>0</v>
      </c>
      <c r="B590" s="6" t="s">
        <v>3929</v>
      </c>
      <c r="C590" s="7">
        <v>1384.9</v>
      </c>
      <c r="D590" s="8" t="s">
        <v>3930</v>
      </c>
      <c r="E590" s="8" t="s">
        <v>3931</v>
      </c>
      <c r="F590" s="8" t="s">
        <v>3932</v>
      </c>
      <c r="G590" s="6" t="s">
        <v>121</v>
      </c>
      <c r="H590" s="6" t="s">
        <v>122</v>
      </c>
      <c r="I590" s="8" t="s">
        <v>62</v>
      </c>
      <c r="J590" s="9">
        <v>1</v>
      </c>
      <c r="K590" s="9">
        <v>307</v>
      </c>
      <c r="L590" s="9">
        <v>2023</v>
      </c>
      <c r="M590" s="8" t="s">
        <v>3933</v>
      </c>
      <c r="N590" s="8" t="s">
        <v>41</v>
      </c>
      <c r="O590" s="8" t="s">
        <v>54</v>
      </c>
      <c r="P590" s="6" t="s">
        <v>65</v>
      </c>
      <c r="Q590" s="8" t="s">
        <v>66</v>
      </c>
      <c r="R590" s="10" t="s">
        <v>3934</v>
      </c>
      <c r="S590" s="11"/>
      <c r="T590" s="6"/>
      <c r="U590" s="28" t="str">
        <f>HYPERLINK("https://media.infra-m.ru/1894/1894530/cover/1894530.jpg", "Обложка")</f>
        <v>Обложка</v>
      </c>
      <c r="V590" s="28" t="str">
        <f>HYPERLINK("https://znanium.com/catalog/product/959952", "Ознакомиться")</f>
        <v>Ознакомиться</v>
      </c>
      <c r="W590" s="8" t="s">
        <v>3935</v>
      </c>
      <c r="X590" s="6"/>
      <c r="Y590" s="6"/>
      <c r="Z590" s="6"/>
      <c r="AA590" s="6" t="s">
        <v>161</v>
      </c>
    </row>
    <row r="591" spans="1:27" s="4" customFormat="1" ht="51.95" customHeight="1">
      <c r="A591" s="5">
        <v>0</v>
      </c>
      <c r="B591" s="6" t="s">
        <v>3936</v>
      </c>
      <c r="C591" s="13">
        <v>980</v>
      </c>
      <c r="D591" s="8" t="s">
        <v>3937</v>
      </c>
      <c r="E591" s="8" t="s">
        <v>3938</v>
      </c>
      <c r="F591" s="8" t="s">
        <v>3939</v>
      </c>
      <c r="G591" s="6" t="s">
        <v>37</v>
      </c>
      <c r="H591" s="6" t="s">
        <v>264</v>
      </c>
      <c r="I591" s="8"/>
      <c r="J591" s="9">
        <v>1</v>
      </c>
      <c r="K591" s="9">
        <v>212</v>
      </c>
      <c r="L591" s="9">
        <v>2024</v>
      </c>
      <c r="M591" s="8" t="s">
        <v>3940</v>
      </c>
      <c r="N591" s="8" t="s">
        <v>41</v>
      </c>
      <c r="O591" s="8" t="s">
        <v>54</v>
      </c>
      <c r="P591" s="6" t="s">
        <v>65</v>
      </c>
      <c r="Q591" s="8" t="s">
        <v>66</v>
      </c>
      <c r="R591" s="10" t="s">
        <v>3941</v>
      </c>
      <c r="S591" s="11" t="s">
        <v>3942</v>
      </c>
      <c r="T591" s="6"/>
      <c r="U591" s="28" t="str">
        <f>HYPERLINK("https://media.infra-m.ru/2120/2120774/cover/2120774.jpg", "Обложка")</f>
        <v>Обложка</v>
      </c>
      <c r="V591" s="28" t="str">
        <f>HYPERLINK("https://znanium.com/catalog/product/2120774", "Ознакомиться")</f>
        <v>Ознакомиться</v>
      </c>
      <c r="W591" s="8" t="s">
        <v>642</v>
      </c>
      <c r="X591" s="6"/>
      <c r="Y591" s="6"/>
      <c r="Z591" s="6"/>
      <c r="AA591" s="6" t="s">
        <v>674</v>
      </c>
    </row>
    <row r="592" spans="1:27" s="4" customFormat="1" ht="51.95" customHeight="1">
      <c r="A592" s="5">
        <v>0</v>
      </c>
      <c r="B592" s="6" t="s">
        <v>3943</v>
      </c>
      <c r="C592" s="7">
        <v>1064</v>
      </c>
      <c r="D592" s="8" t="s">
        <v>3944</v>
      </c>
      <c r="E592" s="8" t="s">
        <v>3945</v>
      </c>
      <c r="F592" s="8" t="s">
        <v>3946</v>
      </c>
      <c r="G592" s="6" t="s">
        <v>121</v>
      </c>
      <c r="H592" s="6" t="s">
        <v>264</v>
      </c>
      <c r="I592" s="8"/>
      <c r="J592" s="9">
        <v>1</v>
      </c>
      <c r="K592" s="9">
        <v>231</v>
      </c>
      <c r="L592" s="9">
        <v>2023</v>
      </c>
      <c r="M592" s="8" t="s">
        <v>3947</v>
      </c>
      <c r="N592" s="8" t="s">
        <v>41</v>
      </c>
      <c r="O592" s="8" t="s">
        <v>54</v>
      </c>
      <c r="P592" s="6" t="s">
        <v>65</v>
      </c>
      <c r="Q592" s="8" t="s">
        <v>66</v>
      </c>
      <c r="R592" s="10" t="s">
        <v>3948</v>
      </c>
      <c r="S592" s="11"/>
      <c r="T592" s="6"/>
      <c r="U592" s="28" t="str">
        <f>HYPERLINK("https://media.infra-m.ru/1894/1894533/cover/1894533.jpg", "Обложка")</f>
        <v>Обложка</v>
      </c>
      <c r="V592" s="28" t="str">
        <f>HYPERLINK("https://znanium.com/catalog/product/1850635", "Ознакомиться")</f>
        <v>Ознакомиться</v>
      </c>
      <c r="W592" s="8" t="s">
        <v>642</v>
      </c>
      <c r="X592" s="6"/>
      <c r="Y592" s="6"/>
      <c r="Z592" s="6"/>
      <c r="AA592" s="6" t="s">
        <v>667</v>
      </c>
    </row>
    <row r="593" spans="1:27" s="4" customFormat="1" ht="51.95" customHeight="1">
      <c r="A593" s="5">
        <v>0</v>
      </c>
      <c r="B593" s="6" t="s">
        <v>3949</v>
      </c>
      <c r="C593" s="7">
        <v>1754</v>
      </c>
      <c r="D593" s="8" t="s">
        <v>3950</v>
      </c>
      <c r="E593" s="8" t="s">
        <v>3951</v>
      </c>
      <c r="F593" s="8" t="s">
        <v>3952</v>
      </c>
      <c r="G593" s="6" t="s">
        <v>121</v>
      </c>
      <c r="H593" s="6" t="s">
        <v>122</v>
      </c>
      <c r="I593" s="8" t="s">
        <v>298</v>
      </c>
      <c r="J593" s="9">
        <v>1</v>
      </c>
      <c r="K593" s="9">
        <v>380</v>
      </c>
      <c r="L593" s="9">
        <v>2024</v>
      </c>
      <c r="M593" s="8" t="s">
        <v>3953</v>
      </c>
      <c r="N593" s="8" t="s">
        <v>41</v>
      </c>
      <c r="O593" s="8" t="s">
        <v>54</v>
      </c>
      <c r="P593" s="6" t="s">
        <v>65</v>
      </c>
      <c r="Q593" s="8" t="s">
        <v>66</v>
      </c>
      <c r="R593" s="10" t="s">
        <v>3954</v>
      </c>
      <c r="S593" s="11" t="s">
        <v>3955</v>
      </c>
      <c r="T593" s="6"/>
      <c r="U593" s="28" t="str">
        <f>HYPERLINK("https://media.infra-m.ru/2103/2103134/cover/2103134.jpg", "Обложка")</f>
        <v>Обложка</v>
      </c>
      <c r="V593" s="28" t="str">
        <f>HYPERLINK("https://znanium.com/catalog/product/1816902", "Ознакомиться")</f>
        <v>Ознакомиться</v>
      </c>
      <c r="W593" s="8" t="s">
        <v>3353</v>
      </c>
      <c r="X593" s="6"/>
      <c r="Y593" s="6"/>
      <c r="Z593" s="6"/>
      <c r="AA593" s="6" t="s">
        <v>144</v>
      </c>
    </row>
    <row r="594" spans="1:27" s="4" customFormat="1" ht="51.95" customHeight="1">
      <c r="A594" s="5">
        <v>0</v>
      </c>
      <c r="B594" s="6" t="s">
        <v>3956</v>
      </c>
      <c r="C594" s="13">
        <v>587</v>
      </c>
      <c r="D594" s="8" t="s">
        <v>3957</v>
      </c>
      <c r="E594" s="8" t="s">
        <v>3958</v>
      </c>
      <c r="F594" s="8" t="s">
        <v>3959</v>
      </c>
      <c r="G594" s="6" t="s">
        <v>52</v>
      </c>
      <c r="H594" s="6" t="s">
        <v>207</v>
      </c>
      <c r="I594" s="8" t="s">
        <v>187</v>
      </c>
      <c r="J594" s="9">
        <v>1</v>
      </c>
      <c r="K594" s="9">
        <v>97</v>
      </c>
      <c r="L594" s="9">
        <v>2024</v>
      </c>
      <c r="M594" s="8" t="s">
        <v>3960</v>
      </c>
      <c r="N594" s="8" t="s">
        <v>41</v>
      </c>
      <c r="O594" s="8" t="s">
        <v>54</v>
      </c>
      <c r="P594" s="6" t="s">
        <v>65</v>
      </c>
      <c r="Q594" s="8" t="s">
        <v>189</v>
      </c>
      <c r="R594" s="10" t="s">
        <v>3961</v>
      </c>
      <c r="S594" s="11" t="s">
        <v>3962</v>
      </c>
      <c r="T594" s="6"/>
      <c r="U594" s="28" t="str">
        <f>HYPERLINK("https://media.infra-m.ru/1894/1894539/cover/1894539.jpg", "Обложка")</f>
        <v>Обложка</v>
      </c>
      <c r="V594" s="28" t="str">
        <f>HYPERLINK("https://znanium.com/catalog/product/1179510", "Ознакомиться")</f>
        <v>Ознакомиться</v>
      </c>
      <c r="W594" s="8" t="s">
        <v>116</v>
      </c>
      <c r="X594" s="6"/>
      <c r="Y594" s="6"/>
      <c r="Z594" s="6"/>
      <c r="AA594" s="6" t="s">
        <v>598</v>
      </c>
    </row>
    <row r="595" spans="1:27" s="4" customFormat="1" ht="51.95" customHeight="1">
      <c r="A595" s="5">
        <v>0</v>
      </c>
      <c r="B595" s="6" t="s">
        <v>3963</v>
      </c>
      <c r="C595" s="13">
        <v>644</v>
      </c>
      <c r="D595" s="8" t="s">
        <v>3964</v>
      </c>
      <c r="E595" s="8" t="s">
        <v>3965</v>
      </c>
      <c r="F595" s="8" t="s">
        <v>1542</v>
      </c>
      <c r="G595" s="6" t="s">
        <v>52</v>
      </c>
      <c r="H595" s="6" t="s">
        <v>38</v>
      </c>
      <c r="I595" s="8" t="s">
        <v>62</v>
      </c>
      <c r="J595" s="9">
        <v>1</v>
      </c>
      <c r="K595" s="9">
        <v>142</v>
      </c>
      <c r="L595" s="9">
        <v>2023</v>
      </c>
      <c r="M595" s="8" t="s">
        <v>3966</v>
      </c>
      <c r="N595" s="8" t="s">
        <v>41</v>
      </c>
      <c r="O595" s="8" t="s">
        <v>54</v>
      </c>
      <c r="P595" s="6" t="s">
        <v>65</v>
      </c>
      <c r="Q595" s="8" t="s">
        <v>66</v>
      </c>
      <c r="R595" s="10" t="s">
        <v>3967</v>
      </c>
      <c r="S595" s="11"/>
      <c r="T595" s="6"/>
      <c r="U595" s="28" t="str">
        <f>HYPERLINK("https://media.infra-m.ru/2045/2045800/cover/2045800.jpg", "Обложка")</f>
        <v>Обложка</v>
      </c>
      <c r="V595" s="28" t="str">
        <f>HYPERLINK("https://znanium.com/catalog/product/1010095", "Ознакомиться")</f>
        <v>Ознакомиться</v>
      </c>
      <c r="W595" s="8" t="s">
        <v>216</v>
      </c>
      <c r="X595" s="6"/>
      <c r="Y595" s="6"/>
      <c r="Z595" s="6"/>
      <c r="AA595" s="6" t="s">
        <v>161</v>
      </c>
    </row>
    <row r="596" spans="1:27" s="4" customFormat="1" ht="51.95" customHeight="1">
      <c r="A596" s="5">
        <v>0</v>
      </c>
      <c r="B596" s="6" t="s">
        <v>3968</v>
      </c>
      <c r="C596" s="7">
        <v>1114.9000000000001</v>
      </c>
      <c r="D596" s="8" t="s">
        <v>3969</v>
      </c>
      <c r="E596" s="8" t="s">
        <v>3970</v>
      </c>
      <c r="F596" s="8" t="s">
        <v>3896</v>
      </c>
      <c r="G596" s="6" t="s">
        <v>121</v>
      </c>
      <c r="H596" s="6" t="s">
        <v>264</v>
      </c>
      <c r="I596" s="8"/>
      <c r="J596" s="9">
        <v>1</v>
      </c>
      <c r="K596" s="9">
        <v>248</v>
      </c>
      <c r="L596" s="9">
        <v>2023</v>
      </c>
      <c r="M596" s="8" t="s">
        <v>3971</v>
      </c>
      <c r="N596" s="8" t="s">
        <v>41</v>
      </c>
      <c r="O596" s="8" t="s">
        <v>54</v>
      </c>
      <c r="P596" s="6" t="s">
        <v>65</v>
      </c>
      <c r="Q596" s="8" t="s">
        <v>66</v>
      </c>
      <c r="R596" s="10" t="s">
        <v>3972</v>
      </c>
      <c r="S596" s="11" t="s">
        <v>3942</v>
      </c>
      <c r="T596" s="6"/>
      <c r="U596" s="28" t="str">
        <f>HYPERLINK("https://media.infra-m.ru/1904/1904827/cover/1904827.jpg", "Обложка")</f>
        <v>Обложка</v>
      </c>
      <c r="V596" s="28" t="str">
        <f>HYPERLINK("https://znanium.com/catalog/product/1084382", "Ознакомиться")</f>
        <v>Ознакомиться</v>
      </c>
      <c r="W596" s="8" t="s">
        <v>642</v>
      </c>
      <c r="X596" s="6"/>
      <c r="Y596" s="6"/>
      <c r="Z596" s="6"/>
      <c r="AA596" s="6" t="s">
        <v>333</v>
      </c>
    </row>
    <row r="597" spans="1:27" s="4" customFormat="1" ht="51.95" customHeight="1">
      <c r="A597" s="5">
        <v>0</v>
      </c>
      <c r="B597" s="6" t="s">
        <v>3973</v>
      </c>
      <c r="C597" s="7">
        <v>1750</v>
      </c>
      <c r="D597" s="8" t="s">
        <v>3974</v>
      </c>
      <c r="E597" s="8" t="s">
        <v>3975</v>
      </c>
      <c r="F597" s="8" t="s">
        <v>3976</v>
      </c>
      <c r="G597" s="6" t="s">
        <v>37</v>
      </c>
      <c r="H597" s="6" t="s">
        <v>38</v>
      </c>
      <c r="I597" s="8" t="s">
        <v>62</v>
      </c>
      <c r="J597" s="9">
        <v>1</v>
      </c>
      <c r="K597" s="9">
        <v>388</v>
      </c>
      <c r="L597" s="9">
        <v>2023</v>
      </c>
      <c r="M597" s="8" t="s">
        <v>3977</v>
      </c>
      <c r="N597" s="8" t="s">
        <v>41</v>
      </c>
      <c r="O597" s="8" t="s">
        <v>54</v>
      </c>
      <c r="P597" s="6" t="s">
        <v>65</v>
      </c>
      <c r="Q597" s="8" t="s">
        <v>66</v>
      </c>
      <c r="R597" s="10" t="s">
        <v>3978</v>
      </c>
      <c r="S597" s="11" t="s">
        <v>3979</v>
      </c>
      <c r="T597" s="6"/>
      <c r="U597" s="28" t="str">
        <f>HYPERLINK("https://media.infra-m.ru/1891/1891221/cover/1891221.jpg", "Обложка")</f>
        <v>Обложка</v>
      </c>
      <c r="V597" s="28" t="str">
        <f>HYPERLINK("https://znanium.com/catalog/product/1891221", "Ознакомиться")</f>
        <v>Ознакомиться</v>
      </c>
      <c r="W597" s="8" t="s">
        <v>1209</v>
      </c>
      <c r="X597" s="6"/>
      <c r="Y597" s="6"/>
      <c r="Z597" s="6"/>
      <c r="AA597" s="6" t="s">
        <v>108</v>
      </c>
    </row>
    <row r="598" spans="1:27" s="4" customFormat="1" ht="51.95" customHeight="1">
      <c r="A598" s="5">
        <v>0</v>
      </c>
      <c r="B598" s="6" t="s">
        <v>3980</v>
      </c>
      <c r="C598" s="7">
        <v>1300</v>
      </c>
      <c r="D598" s="8" t="s">
        <v>3981</v>
      </c>
      <c r="E598" s="8" t="s">
        <v>3982</v>
      </c>
      <c r="F598" s="8" t="s">
        <v>3983</v>
      </c>
      <c r="G598" s="6" t="s">
        <v>37</v>
      </c>
      <c r="H598" s="6" t="s">
        <v>38</v>
      </c>
      <c r="I598" s="8" t="s">
        <v>187</v>
      </c>
      <c r="J598" s="9">
        <v>1</v>
      </c>
      <c r="K598" s="9">
        <v>274</v>
      </c>
      <c r="L598" s="9">
        <v>2024</v>
      </c>
      <c r="M598" s="8" t="s">
        <v>3984</v>
      </c>
      <c r="N598" s="8" t="s">
        <v>41</v>
      </c>
      <c r="O598" s="8" t="s">
        <v>54</v>
      </c>
      <c r="P598" s="6" t="s">
        <v>65</v>
      </c>
      <c r="Q598" s="8" t="s">
        <v>189</v>
      </c>
      <c r="R598" s="10" t="s">
        <v>640</v>
      </c>
      <c r="S598" s="11" t="s">
        <v>3985</v>
      </c>
      <c r="T598" s="6"/>
      <c r="U598" s="28" t="str">
        <f>HYPERLINK("https://media.infra-m.ru/2048/2048137/cover/2048137.jpg", "Обложка")</f>
        <v>Обложка</v>
      </c>
      <c r="V598" s="28" t="str">
        <f>HYPERLINK("https://znanium.com/catalog/product/2048137", "Ознакомиться")</f>
        <v>Ознакомиться</v>
      </c>
      <c r="W598" s="8" t="s">
        <v>3986</v>
      </c>
      <c r="X598" s="6"/>
      <c r="Y598" s="6"/>
      <c r="Z598" s="6"/>
      <c r="AA598" s="6" t="s">
        <v>135</v>
      </c>
    </row>
    <row r="599" spans="1:27" s="4" customFormat="1" ht="51.95" customHeight="1">
      <c r="A599" s="5">
        <v>0</v>
      </c>
      <c r="B599" s="6" t="s">
        <v>3987</v>
      </c>
      <c r="C599" s="7">
        <v>2520</v>
      </c>
      <c r="D599" s="8" t="s">
        <v>3988</v>
      </c>
      <c r="E599" s="8" t="s">
        <v>3989</v>
      </c>
      <c r="F599" s="8" t="s">
        <v>3990</v>
      </c>
      <c r="G599" s="6" t="s">
        <v>37</v>
      </c>
      <c r="H599" s="6" t="s">
        <v>207</v>
      </c>
      <c r="I599" s="8" t="s">
        <v>187</v>
      </c>
      <c r="J599" s="9">
        <v>1</v>
      </c>
      <c r="K599" s="9">
        <v>560</v>
      </c>
      <c r="L599" s="9">
        <v>2023</v>
      </c>
      <c r="M599" s="8" t="s">
        <v>3991</v>
      </c>
      <c r="N599" s="8" t="s">
        <v>41</v>
      </c>
      <c r="O599" s="8" t="s">
        <v>54</v>
      </c>
      <c r="P599" s="6" t="s">
        <v>85</v>
      </c>
      <c r="Q599" s="8" t="s">
        <v>189</v>
      </c>
      <c r="R599" s="10" t="s">
        <v>3992</v>
      </c>
      <c r="S599" s="11" t="s">
        <v>3993</v>
      </c>
      <c r="T599" s="6"/>
      <c r="U599" s="28" t="str">
        <f>HYPERLINK("https://media.infra-m.ru/1968/1968777/cover/1968777.jpg", "Обложка")</f>
        <v>Обложка</v>
      </c>
      <c r="V599" s="28" t="str">
        <f>HYPERLINK("https://znanium.com/catalog/product/1968777", "Ознакомиться")</f>
        <v>Ознакомиться</v>
      </c>
      <c r="W599" s="8" t="s">
        <v>3994</v>
      </c>
      <c r="X599" s="6"/>
      <c r="Y599" s="6"/>
      <c r="Z599" s="6"/>
      <c r="AA599" s="6" t="s">
        <v>333</v>
      </c>
    </row>
    <row r="600" spans="1:27" s="4" customFormat="1" ht="51.95" customHeight="1">
      <c r="A600" s="5">
        <v>0</v>
      </c>
      <c r="B600" s="6" t="s">
        <v>3995</v>
      </c>
      <c r="C600" s="7">
        <v>2600</v>
      </c>
      <c r="D600" s="8" t="s">
        <v>3996</v>
      </c>
      <c r="E600" s="8" t="s">
        <v>3997</v>
      </c>
      <c r="F600" s="8" t="s">
        <v>3998</v>
      </c>
      <c r="G600" s="6" t="s">
        <v>37</v>
      </c>
      <c r="H600" s="6" t="s">
        <v>38</v>
      </c>
      <c r="I600" s="8" t="s">
        <v>62</v>
      </c>
      <c r="J600" s="9">
        <v>1</v>
      </c>
      <c r="K600" s="9">
        <v>581</v>
      </c>
      <c r="L600" s="9">
        <v>2023</v>
      </c>
      <c r="M600" s="8" t="s">
        <v>3999</v>
      </c>
      <c r="N600" s="8" t="s">
        <v>41</v>
      </c>
      <c r="O600" s="8" t="s">
        <v>54</v>
      </c>
      <c r="P600" s="6" t="s">
        <v>85</v>
      </c>
      <c r="Q600" s="8" t="s">
        <v>66</v>
      </c>
      <c r="R600" s="10" t="s">
        <v>4000</v>
      </c>
      <c r="S600" s="11" t="s">
        <v>4001</v>
      </c>
      <c r="T600" s="6" t="s">
        <v>89</v>
      </c>
      <c r="U600" s="28" t="str">
        <f>HYPERLINK("https://media.infra-m.ru/1913/1913243/cover/1913243.jpg", "Обложка")</f>
        <v>Обложка</v>
      </c>
      <c r="V600" s="28" t="str">
        <f>HYPERLINK("https://znanium.com/catalog/product/1913243", "Ознакомиться")</f>
        <v>Ознакомиться</v>
      </c>
      <c r="W600" s="8" t="s">
        <v>3377</v>
      </c>
      <c r="X600" s="6"/>
      <c r="Y600" s="6"/>
      <c r="Z600" s="6"/>
      <c r="AA600" s="6" t="s">
        <v>4002</v>
      </c>
    </row>
    <row r="601" spans="1:27" s="4" customFormat="1" ht="51.95" customHeight="1">
      <c r="A601" s="5">
        <v>0</v>
      </c>
      <c r="B601" s="6" t="s">
        <v>4003</v>
      </c>
      <c r="C601" s="13">
        <v>994.9</v>
      </c>
      <c r="D601" s="8" t="s">
        <v>4004</v>
      </c>
      <c r="E601" s="8" t="s">
        <v>4005</v>
      </c>
      <c r="F601" s="8" t="s">
        <v>4006</v>
      </c>
      <c r="G601" s="6"/>
      <c r="H601" s="6" t="s">
        <v>38</v>
      </c>
      <c r="I601" s="8" t="s">
        <v>1278</v>
      </c>
      <c r="J601" s="9">
        <v>10</v>
      </c>
      <c r="K601" s="9">
        <v>600</v>
      </c>
      <c r="L601" s="9">
        <v>2015</v>
      </c>
      <c r="M601" s="8" t="s">
        <v>4007</v>
      </c>
      <c r="N601" s="8" t="s">
        <v>41</v>
      </c>
      <c r="O601" s="8" t="s">
        <v>54</v>
      </c>
      <c r="P601" s="6" t="s">
        <v>65</v>
      </c>
      <c r="Q601" s="8" t="s">
        <v>66</v>
      </c>
      <c r="R601" s="10" t="s">
        <v>4008</v>
      </c>
      <c r="S601" s="11"/>
      <c r="T601" s="6"/>
      <c r="U601" s="28" t="str">
        <f>HYPERLINK("https://media.infra-m.ru/0457/0457031/cover/457031.jpg", "Обложка")</f>
        <v>Обложка</v>
      </c>
      <c r="V601" s="28" t="str">
        <f>HYPERLINK("https://znanium.com/catalog/product/397226", "Ознакомиться")</f>
        <v>Ознакомиться</v>
      </c>
      <c r="W601" s="8" t="s">
        <v>4009</v>
      </c>
      <c r="X601" s="6"/>
      <c r="Y601" s="6"/>
      <c r="Z601" s="6"/>
      <c r="AA601" s="6" t="s">
        <v>161</v>
      </c>
    </row>
    <row r="602" spans="1:27" s="4" customFormat="1" ht="51.95" customHeight="1">
      <c r="A602" s="5">
        <v>0</v>
      </c>
      <c r="B602" s="6" t="s">
        <v>4010</v>
      </c>
      <c r="C602" s="7">
        <v>1984</v>
      </c>
      <c r="D602" s="8" t="s">
        <v>4011</v>
      </c>
      <c r="E602" s="8" t="s">
        <v>4005</v>
      </c>
      <c r="F602" s="8" t="s">
        <v>4012</v>
      </c>
      <c r="G602" s="6" t="s">
        <v>121</v>
      </c>
      <c r="H602" s="6" t="s">
        <v>207</v>
      </c>
      <c r="I602" s="8" t="s">
        <v>298</v>
      </c>
      <c r="J602" s="9">
        <v>1</v>
      </c>
      <c r="K602" s="9">
        <v>432</v>
      </c>
      <c r="L602" s="9">
        <v>2024</v>
      </c>
      <c r="M602" s="8" t="s">
        <v>4013</v>
      </c>
      <c r="N602" s="8" t="s">
        <v>41</v>
      </c>
      <c r="O602" s="8" t="s">
        <v>54</v>
      </c>
      <c r="P602" s="6" t="s">
        <v>65</v>
      </c>
      <c r="Q602" s="8" t="s">
        <v>189</v>
      </c>
      <c r="R602" s="10" t="s">
        <v>640</v>
      </c>
      <c r="S602" s="11" t="s">
        <v>4014</v>
      </c>
      <c r="T602" s="6"/>
      <c r="U602" s="28" t="str">
        <f>HYPERLINK("https://media.infra-m.ru/2083/2083157/cover/2083157.jpg", "Обложка")</f>
        <v>Обложка</v>
      </c>
      <c r="V602" s="28" t="str">
        <f>HYPERLINK("https://znanium.com/catalog/product/1012153", "Ознакомиться")</f>
        <v>Ознакомиться</v>
      </c>
      <c r="W602" s="8" t="s">
        <v>116</v>
      </c>
      <c r="X602" s="6"/>
      <c r="Y602" s="6"/>
      <c r="Z602" s="6"/>
      <c r="AA602" s="6" t="s">
        <v>161</v>
      </c>
    </row>
    <row r="603" spans="1:27" s="4" customFormat="1" ht="33" customHeight="1">
      <c r="A603" s="5">
        <v>0</v>
      </c>
      <c r="B603" s="6" t="s">
        <v>4015</v>
      </c>
      <c r="C603" s="13">
        <v>194.9</v>
      </c>
      <c r="D603" s="8" t="s">
        <v>4016</v>
      </c>
      <c r="E603" s="8" t="s">
        <v>4017</v>
      </c>
      <c r="F603" s="8" t="s">
        <v>390</v>
      </c>
      <c r="G603" s="6" t="s">
        <v>52</v>
      </c>
      <c r="H603" s="6" t="s">
        <v>122</v>
      </c>
      <c r="I603" s="8" t="s">
        <v>197</v>
      </c>
      <c r="J603" s="9">
        <v>1</v>
      </c>
      <c r="K603" s="9">
        <v>112</v>
      </c>
      <c r="L603" s="9">
        <v>2023</v>
      </c>
      <c r="M603" s="8" t="s">
        <v>4018</v>
      </c>
      <c r="N603" s="8" t="s">
        <v>41</v>
      </c>
      <c r="O603" s="8" t="s">
        <v>54</v>
      </c>
      <c r="P603" s="6" t="s">
        <v>199</v>
      </c>
      <c r="Q603" s="8" t="s">
        <v>66</v>
      </c>
      <c r="R603" s="10" t="s">
        <v>4019</v>
      </c>
      <c r="S603" s="11"/>
      <c r="T603" s="6"/>
      <c r="U603" s="12"/>
      <c r="V603" s="12"/>
      <c r="W603" s="8"/>
      <c r="X603" s="6"/>
      <c r="Y603" s="6"/>
      <c r="Z603" s="6"/>
      <c r="AA603" s="6" t="s">
        <v>202</v>
      </c>
    </row>
    <row r="604" spans="1:27" s="4" customFormat="1" ht="33" customHeight="1">
      <c r="A604" s="5">
        <v>0</v>
      </c>
      <c r="B604" s="6" t="s">
        <v>4020</v>
      </c>
      <c r="C604" s="13">
        <v>194.9</v>
      </c>
      <c r="D604" s="8" t="s">
        <v>4021</v>
      </c>
      <c r="E604" s="8" t="s">
        <v>4005</v>
      </c>
      <c r="F604" s="8"/>
      <c r="G604" s="6" t="s">
        <v>52</v>
      </c>
      <c r="H604" s="6" t="s">
        <v>122</v>
      </c>
      <c r="I604" s="8" t="s">
        <v>197</v>
      </c>
      <c r="J604" s="9">
        <v>120</v>
      </c>
      <c r="K604" s="9">
        <v>160</v>
      </c>
      <c r="L604" s="9">
        <v>2020</v>
      </c>
      <c r="M604" s="8" t="s">
        <v>4022</v>
      </c>
      <c r="N604" s="8" t="s">
        <v>41</v>
      </c>
      <c r="O604" s="8" t="s">
        <v>54</v>
      </c>
      <c r="P604" s="6" t="s">
        <v>199</v>
      </c>
      <c r="Q604" s="8" t="s">
        <v>66</v>
      </c>
      <c r="R604" s="10" t="s">
        <v>4019</v>
      </c>
      <c r="S604" s="11"/>
      <c r="T604" s="6"/>
      <c r="U604" s="12"/>
      <c r="V604" s="12"/>
      <c r="W604" s="8"/>
      <c r="X604" s="6"/>
      <c r="Y604" s="6"/>
      <c r="Z604" s="6"/>
      <c r="AA604" s="6" t="s">
        <v>445</v>
      </c>
    </row>
    <row r="605" spans="1:27" s="4" customFormat="1" ht="51.95" customHeight="1">
      <c r="A605" s="5">
        <v>0</v>
      </c>
      <c r="B605" s="6" t="s">
        <v>4023</v>
      </c>
      <c r="C605" s="7">
        <v>1384.9</v>
      </c>
      <c r="D605" s="8" t="s">
        <v>4024</v>
      </c>
      <c r="E605" s="8" t="s">
        <v>4005</v>
      </c>
      <c r="F605" s="8" t="s">
        <v>4025</v>
      </c>
      <c r="G605" s="6" t="s">
        <v>121</v>
      </c>
      <c r="H605" s="6" t="s">
        <v>38</v>
      </c>
      <c r="I605" s="8" t="s">
        <v>2029</v>
      </c>
      <c r="J605" s="9">
        <v>1</v>
      </c>
      <c r="K605" s="9">
        <v>308</v>
      </c>
      <c r="L605" s="9">
        <v>2023</v>
      </c>
      <c r="M605" s="8" t="s">
        <v>4026</v>
      </c>
      <c r="N605" s="8" t="s">
        <v>41</v>
      </c>
      <c r="O605" s="8" t="s">
        <v>54</v>
      </c>
      <c r="P605" s="6" t="s">
        <v>65</v>
      </c>
      <c r="Q605" s="8" t="s">
        <v>66</v>
      </c>
      <c r="R605" s="10" t="s">
        <v>640</v>
      </c>
      <c r="S605" s="11" t="s">
        <v>4027</v>
      </c>
      <c r="T605" s="6"/>
      <c r="U605" s="28" t="str">
        <f>HYPERLINK("https://media.infra-m.ru/1856/1856470/cover/1856470.jpg", "Обложка")</f>
        <v>Обложка</v>
      </c>
      <c r="V605" s="12"/>
      <c r="W605" s="8" t="s">
        <v>463</v>
      </c>
      <c r="X605" s="6"/>
      <c r="Y605" s="6"/>
      <c r="Z605" s="6"/>
      <c r="AA605" s="6" t="s">
        <v>91</v>
      </c>
    </row>
    <row r="606" spans="1:27" s="4" customFormat="1" ht="51.95" customHeight="1">
      <c r="A606" s="5">
        <v>0</v>
      </c>
      <c r="B606" s="6" t="s">
        <v>4028</v>
      </c>
      <c r="C606" s="13">
        <v>974.9</v>
      </c>
      <c r="D606" s="8" t="s">
        <v>4029</v>
      </c>
      <c r="E606" s="8" t="s">
        <v>4030</v>
      </c>
      <c r="F606" s="8" t="s">
        <v>4031</v>
      </c>
      <c r="G606" s="6" t="s">
        <v>121</v>
      </c>
      <c r="H606" s="6" t="s">
        <v>207</v>
      </c>
      <c r="I606" s="8" t="s">
        <v>130</v>
      </c>
      <c r="J606" s="9">
        <v>1</v>
      </c>
      <c r="K606" s="9">
        <v>256</v>
      </c>
      <c r="L606" s="9">
        <v>2022</v>
      </c>
      <c r="M606" s="8" t="s">
        <v>4032</v>
      </c>
      <c r="N606" s="8" t="s">
        <v>41</v>
      </c>
      <c r="O606" s="8" t="s">
        <v>42</v>
      </c>
      <c r="P606" s="6" t="s">
        <v>85</v>
      </c>
      <c r="Q606" s="8" t="s">
        <v>66</v>
      </c>
      <c r="R606" s="10" t="s">
        <v>3102</v>
      </c>
      <c r="S606" s="11" t="s">
        <v>4033</v>
      </c>
      <c r="T606" s="6"/>
      <c r="U606" s="28" t="str">
        <f>HYPERLINK("https://media.infra-m.ru/1832/1832148/cover/1832148.jpg", "Обложка")</f>
        <v>Обложка</v>
      </c>
      <c r="V606" s="28" t="str">
        <f>HYPERLINK("https://znanium.com/catalog/product/1832148", "Ознакомиться")</f>
        <v>Ознакомиться</v>
      </c>
      <c r="W606" s="8" t="s">
        <v>4034</v>
      </c>
      <c r="X606" s="6"/>
      <c r="Y606" s="6"/>
      <c r="Z606" s="6"/>
      <c r="AA606" s="6" t="s">
        <v>254</v>
      </c>
    </row>
    <row r="607" spans="1:27" s="4" customFormat="1" ht="51.95" customHeight="1">
      <c r="A607" s="5">
        <v>0</v>
      </c>
      <c r="B607" s="6" t="s">
        <v>4035</v>
      </c>
      <c r="C607" s="7">
        <v>3750</v>
      </c>
      <c r="D607" s="8" t="s">
        <v>4036</v>
      </c>
      <c r="E607" s="8" t="s">
        <v>4037</v>
      </c>
      <c r="F607" s="8" t="s">
        <v>4038</v>
      </c>
      <c r="G607" s="6" t="s">
        <v>121</v>
      </c>
      <c r="H607" s="6" t="s">
        <v>38</v>
      </c>
      <c r="I607" s="8" t="s">
        <v>795</v>
      </c>
      <c r="J607" s="9">
        <v>1</v>
      </c>
      <c r="K607" s="9">
        <v>813</v>
      </c>
      <c r="L607" s="9">
        <v>2023</v>
      </c>
      <c r="M607" s="8" t="s">
        <v>4039</v>
      </c>
      <c r="N607" s="8" t="s">
        <v>41</v>
      </c>
      <c r="O607" s="8" t="s">
        <v>181</v>
      </c>
      <c r="P607" s="6" t="s">
        <v>85</v>
      </c>
      <c r="Q607" s="8" t="s">
        <v>797</v>
      </c>
      <c r="R607" s="10" t="s">
        <v>4040</v>
      </c>
      <c r="S607" s="11"/>
      <c r="T607" s="6"/>
      <c r="U607" s="28" t="str">
        <f>HYPERLINK("https://media.infra-m.ru/1904/1904329/cover/1904329.jpg", "Обложка")</f>
        <v>Обложка</v>
      </c>
      <c r="V607" s="28" t="str">
        <f>HYPERLINK("https://znanium.com/catalog/product/1904329", "Ознакомиться")</f>
        <v>Ознакомиться</v>
      </c>
      <c r="W607" s="8" t="s">
        <v>4041</v>
      </c>
      <c r="X607" s="6" t="s">
        <v>1020</v>
      </c>
      <c r="Y607" s="6"/>
      <c r="Z607" s="6"/>
      <c r="AA607" s="6" t="s">
        <v>382</v>
      </c>
    </row>
    <row r="608" spans="1:27" s="4" customFormat="1" ht="51.95" customHeight="1">
      <c r="A608" s="5">
        <v>0</v>
      </c>
      <c r="B608" s="6" t="s">
        <v>4042</v>
      </c>
      <c r="C608" s="7">
        <v>1640</v>
      </c>
      <c r="D608" s="8" t="s">
        <v>4043</v>
      </c>
      <c r="E608" s="8" t="s">
        <v>4044</v>
      </c>
      <c r="F608" s="8" t="s">
        <v>4045</v>
      </c>
      <c r="G608" s="6" t="s">
        <v>37</v>
      </c>
      <c r="H608" s="6" t="s">
        <v>38</v>
      </c>
      <c r="I608" s="8" t="s">
        <v>4046</v>
      </c>
      <c r="J608" s="9">
        <v>1</v>
      </c>
      <c r="K608" s="9">
        <v>355</v>
      </c>
      <c r="L608" s="9">
        <v>2024</v>
      </c>
      <c r="M608" s="8" t="s">
        <v>4047</v>
      </c>
      <c r="N608" s="8" t="s">
        <v>41</v>
      </c>
      <c r="O608" s="8" t="s">
        <v>181</v>
      </c>
      <c r="P608" s="6" t="s">
        <v>65</v>
      </c>
      <c r="Q608" s="8" t="s">
        <v>797</v>
      </c>
      <c r="R608" s="10" t="s">
        <v>4048</v>
      </c>
      <c r="S608" s="11" t="s">
        <v>4049</v>
      </c>
      <c r="T608" s="6" t="s">
        <v>89</v>
      </c>
      <c r="U608" s="28" t="str">
        <f>HYPERLINK("https://media.infra-m.ru/2118/2118169/cover/2118169.jpg", "Обложка")</f>
        <v>Обложка</v>
      </c>
      <c r="V608" s="28" t="str">
        <f>HYPERLINK("https://znanium.com/catalog/product/2118169", "Ознакомиться")</f>
        <v>Ознакомиться</v>
      </c>
      <c r="W608" s="8" t="s">
        <v>4050</v>
      </c>
      <c r="X608" s="6"/>
      <c r="Y608" s="6"/>
      <c r="Z608" s="6"/>
      <c r="AA608" s="6" t="s">
        <v>78</v>
      </c>
    </row>
    <row r="609" spans="1:27" s="4" customFormat="1" ht="51.95" customHeight="1">
      <c r="A609" s="5">
        <v>0</v>
      </c>
      <c r="B609" s="6" t="s">
        <v>4051</v>
      </c>
      <c r="C609" s="7">
        <v>1264.9000000000001</v>
      </c>
      <c r="D609" s="8" t="s">
        <v>4052</v>
      </c>
      <c r="E609" s="8" t="s">
        <v>4053</v>
      </c>
      <c r="F609" s="8" t="s">
        <v>4054</v>
      </c>
      <c r="G609" s="6" t="s">
        <v>121</v>
      </c>
      <c r="H609" s="6" t="s">
        <v>38</v>
      </c>
      <c r="I609" s="8" t="s">
        <v>62</v>
      </c>
      <c r="J609" s="9">
        <v>1</v>
      </c>
      <c r="K609" s="9">
        <v>432</v>
      </c>
      <c r="L609" s="9">
        <v>2018</v>
      </c>
      <c r="M609" s="8" t="s">
        <v>4055</v>
      </c>
      <c r="N609" s="8" t="s">
        <v>41</v>
      </c>
      <c r="O609" s="8" t="s">
        <v>181</v>
      </c>
      <c r="P609" s="6" t="s">
        <v>65</v>
      </c>
      <c r="Q609" s="8" t="s">
        <v>66</v>
      </c>
      <c r="R609" s="10" t="s">
        <v>4056</v>
      </c>
      <c r="S609" s="11" t="s">
        <v>4057</v>
      </c>
      <c r="T609" s="6"/>
      <c r="U609" s="28" t="str">
        <f>HYPERLINK("https://media.infra-m.ru/0961/0961378/cover/961378.jpg", "Обложка")</f>
        <v>Обложка</v>
      </c>
      <c r="V609" s="28" t="str">
        <f>HYPERLINK("https://znanium.com/catalog/product/1844262", "Ознакомиться")</f>
        <v>Ознакомиться</v>
      </c>
      <c r="W609" s="8" t="s">
        <v>4058</v>
      </c>
      <c r="X609" s="6"/>
      <c r="Y609" s="6"/>
      <c r="Z609" s="6"/>
      <c r="AA609" s="6" t="s">
        <v>254</v>
      </c>
    </row>
    <row r="610" spans="1:27" s="4" customFormat="1" ht="51.95" customHeight="1">
      <c r="A610" s="5">
        <v>0</v>
      </c>
      <c r="B610" s="6" t="s">
        <v>4059</v>
      </c>
      <c r="C610" s="7">
        <v>2330</v>
      </c>
      <c r="D610" s="8" t="s">
        <v>4060</v>
      </c>
      <c r="E610" s="8" t="s">
        <v>4061</v>
      </c>
      <c r="F610" s="8" t="s">
        <v>4062</v>
      </c>
      <c r="G610" s="6" t="s">
        <v>37</v>
      </c>
      <c r="H610" s="6" t="s">
        <v>38</v>
      </c>
      <c r="I610" s="8" t="s">
        <v>130</v>
      </c>
      <c r="J610" s="9">
        <v>1</v>
      </c>
      <c r="K610" s="9">
        <v>606</v>
      </c>
      <c r="L610" s="9">
        <v>2023</v>
      </c>
      <c r="M610" s="8" t="s">
        <v>4063</v>
      </c>
      <c r="N610" s="8" t="s">
        <v>41</v>
      </c>
      <c r="O610" s="8" t="s">
        <v>97</v>
      </c>
      <c r="P610" s="6" t="s">
        <v>85</v>
      </c>
      <c r="Q610" s="8" t="s">
        <v>132</v>
      </c>
      <c r="R610" s="10" t="s">
        <v>4064</v>
      </c>
      <c r="S610" s="11" t="s">
        <v>4065</v>
      </c>
      <c r="T610" s="6" t="s">
        <v>89</v>
      </c>
      <c r="U610" s="28" t="str">
        <f>HYPERLINK("https://media.infra-m.ru/1916/1916115/cover/1916115.jpg", "Обложка")</f>
        <v>Обложка</v>
      </c>
      <c r="V610" s="28" t="str">
        <f>HYPERLINK("https://znanium.com/catalog/product/1916115", "Ознакомиться")</f>
        <v>Ознакомиться</v>
      </c>
      <c r="W610" s="8" t="s">
        <v>238</v>
      </c>
      <c r="X610" s="6"/>
      <c r="Y610" s="6"/>
      <c r="Z610" s="6"/>
      <c r="AA610" s="6" t="s">
        <v>320</v>
      </c>
    </row>
    <row r="611" spans="1:27" s="4" customFormat="1" ht="51.95" customHeight="1">
      <c r="A611" s="5">
        <v>0</v>
      </c>
      <c r="B611" s="6" t="s">
        <v>4066</v>
      </c>
      <c r="C611" s="7">
        <v>1730</v>
      </c>
      <c r="D611" s="8" t="s">
        <v>4067</v>
      </c>
      <c r="E611" s="8" t="s">
        <v>4068</v>
      </c>
      <c r="F611" s="8" t="s">
        <v>4062</v>
      </c>
      <c r="G611" s="6" t="s">
        <v>37</v>
      </c>
      <c r="H611" s="6" t="s">
        <v>38</v>
      </c>
      <c r="I611" s="8" t="s">
        <v>130</v>
      </c>
      <c r="J611" s="9">
        <v>1</v>
      </c>
      <c r="K611" s="9">
        <v>383</v>
      </c>
      <c r="L611" s="9">
        <v>2023</v>
      </c>
      <c r="M611" s="8" t="s">
        <v>4069</v>
      </c>
      <c r="N611" s="8" t="s">
        <v>41</v>
      </c>
      <c r="O611" s="8" t="s">
        <v>97</v>
      </c>
      <c r="P611" s="6" t="s">
        <v>85</v>
      </c>
      <c r="Q611" s="8" t="s">
        <v>132</v>
      </c>
      <c r="R611" s="10" t="s">
        <v>4070</v>
      </c>
      <c r="S611" s="11" t="s">
        <v>4071</v>
      </c>
      <c r="T611" s="6" t="s">
        <v>89</v>
      </c>
      <c r="U611" s="28" t="str">
        <f>HYPERLINK("https://media.infra-m.ru/2023/2023176/cover/2023176.jpg", "Обложка")</f>
        <v>Обложка</v>
      </c>
      <c r="V611" s="28" t="str">
        <f>HYPERLINK("https://znanium.com/catalog/product/1914144", "Ознакомиться")</f>
        <v>Ознакомиться</v>
      </c>
      <c r="W611" s="8" t="s">
        <v>238</v>
      </c>
      <c r="X611" s="6"/>
      <c r="Y611" s="6"/>
      <c r="Z611" s="6"/>
      <c r="AA611" s="6" t="s">
        <v>320</v>
      </c>
    </row>
    <row r="612" spans="1:27" s="4" customFormat="1" ht="51.95" customHeight="1">
      <c r="A612" s="5">
        <v>0</v>
      </c>
      <c r="B612" s="6" t="s">
        <v>4072</v>
      </c>
      <c r="C612" s="7">
        <v>2184</v>
      </c>
      <c r="D612" s="8" t="s">
        <v>4073</v>
      </c>
      <c r="E612" s="8" t="s">
        <v>4074</v>
      </c>
      <c r="F612" s="8" t="s">
        <v>4075</v>
      </c>
      <c r="G612" s="6" t="s">
        <v>37</v>
      </c>
      <c r="H612" s="6" t="s">
        <v>38</v>
      </c>
      <c r="I612" s="8" t="s">
        <v>62</v>
      </c>
      <c r="J612" s="9">
        <v>1</v>
      </c>
      <c r="K612" s="9">
        <v>474</v>
      </c>
      <c r="L612" s="9">
        <v>2024</v>
      </c>
      <c r="M612" s="8" t="s">
        <v>4076</v>
      </c>
      <c r="N612" s="8" t="s">
        <v>41</v>
      </c>
      <c r="O612" s="8" t="s">
        <v>97</v>
      </c>
      <c r="P612" s="6" t="s">
        <v>65</v>
      </c>
      <c r="Q612" s="8" t="s">
        <v>66</v>
      </c>
      <c r="R612" s="10" t="s">
        <v>4077</v>
      </c>
      <c r="S612" s="11" t="s">
        <v>4078</v>
      </c>
      <c r="T612" s="6" t="s">
        <v>89</v>
      </c>
      <c r="U612" s="28" t="str">
        <f>HYPERLINK("https://media.infra-m.ru/2087/2087278/cover/2087278.jpg", "Обложка")</f>
        <v>Обложка</v>
      </c>
      <c r="V612" s="28" t="str">
        <f>HYPERLINK("https://znanium.com/catalog/product/1852239", "Ознакомиться")</f>
        <v>Ознакомиться</v>
      </c>
      <c r="W612" s="8" t="s">
        <v>4079</v>
      </c>
      <c r="X612" s="6"/>
      <c r="Y612" s="6"/>
      <c r="Z612" s="6"/>
      <c r="AA612" s="6" t="s">
        <v>320</v>
      </c>
    </row>
    <row r="613" spans="1:27" s="4" customFormat="1" ht="42" customHeight="1">
      <c r="A613" s="5">
        <v>0</v>
      </c>
      <c r="B613" s="6" t="s">
        <v>4080</v>
      </c>
      <c r="C613" s="13">
        <v>644</v>
      </c>
      <c r="D613" s="8" t="s">
        <v>4081</v>
      </c>
      <c r="E613" s="8" t="s">
        <v>4082</v>
      </c>
      <c r="F613" s="8" t="s">
        <v>4083</v>
      </c>
      <c r="G613" s="6" t="s">
        <v>52</v>
      </c>
      <c r="H613" s="6" t="s">
        <v>264</v>
      </c>
      <c r="I613" s="8"/>
      <c r="J613" s="9">
        <v>1</v>
      </c>
      <c r="K613" s="9">
        <v>140</v>
      </c>
      <c r="L613" s="9">
        <v>2024</v>
      </c>
      <c r="M613" s="8" t="s">
        <v>4084</v>
      </c>
      <c r="N613" s="8" t="s">
        <v>41</v>
      </c>
      <c r="O613" s="8" t="s">
        <v>181</v>
      </c>
      <c r="P613" s="6" t="s">
        <v>65</v>
      </c>
      <c r="Q613" s="8" t="s">
        <v>132</v>
      </c>
      <c r="R613" s="10" t="s">
        <v>4085</v>
      </c>
      <c r="S613" s="11"/>
      <c r="T613" s="6"/>
      <c r="U613" s="28" t="str">
        <f>HYPERLINK("https://media.infra-m.ru/2088/2088250/cover/2088250.jpg", "Обложка")</f>
        <v>Обложка</v>
      </c>
      <c r="V613" s="28" t="str">
        <f>HYPERLINK("https://znanium.com/catalog/product/1216468", "Ознакомиться")</f>
        <v>Ознакомиться</v>
      </c>
      <c r="W613" s="8" t="s">
        <v>4086</v>
      </c>
      <c r="X613" s="6"/>
      <c r="Y613" s="6"/>
      <c r="Z613" s="6"/>
      <c r="AA613" s="6" t="s">
        <v>57</v>
      </c>
    </row>
    <row r="614" spans="1:27" s="4" customFormat="1" ht="51.95" customHeight="1">
      <c r="A614" s="5">
        <v>0</v>
      </c>
      <c r="B614" s="6" t="s">
        <v>4087</v>
      </c>
      <c r="C614" s="13">
        <v>484</v>
      </c>
      <c r="D614" s="8" t="s">
        <v>4088</v>
      </c>
      <c r="E614" s="8" t="s">
        <v>4089</v>
      </c>
      <c r="F614" s="8" t="s">
        <v>4090</v>
      </c>
      <c r="G614" s="6" t="s">
        <v>121</v>
      </c>
      <c r="H614" s="6" t="s">
        <v>122</v>
      </c>
      <c r="I614" s="8" t="s">
        <v>62</v>
      </c>
      <c r="J614" s="9">
        <v>1</v>
      </c>
      <c r="K614" s="9">
        <v>106</v>
      </c>
      <c r="L614" s="9">
        <v>2023</v>
      </c>
      <c r="M614" s="8" t="s">
        <v>4091</v>
      </c>
      <c r="N614" s="8" t="s">
        <v>41</v>
      </c>
      <c r="O614" s="8" t="s">
        <v>54</v>
      </c>
      <c r="P614" s="6" t="s">
        <v>65</v>
      </c>
      <c r="Q614" s="8" t="s">
        <v>66</v>
      </c>
      <c r="R614" s="10" t="s">
        <v>4092</v>
      </c>
      <c r="S614" s="11" t="s">
        <v>4093</v>
      </c>
      <c r="T614" s="6"/>
      <c r="U614" s="28" t="str">
        <f>HYPERLINK("https://media.infra-m.ru/1894/1894549/cover/1894549.jpg", "Обложка")</f>
        <v>Обложка</v>
      </c>
      <c r="V614" s="28" t="str">
        <f>HYPERLINK("https://znanium.com/catalog/product/1497873", "Ознакомиться")</f>
        <v>Ознакомиться</v>
      </c>
      <c r="W614" s="8" t="s">
        <v>3935</v>
      </c>
      <c r="X614" s="6"/>
      <c r="Y614" s="6"/>
      <c r="Z614" s="6"/>
      <c r="AA614" s="6" t="s">
        <v>161</v>
      </c>
    </row>
    <row r="615" spans="1:27" s="4" customFormat="1" ht="51.95" customHeight="1">
      <c r="A615" s="5">
        <v>0</v>
      </c>
      <c r="B615" s="6" t="s">
        <v>4094</v>
      </c>
      <c r="C615" s="13">
        <v>580</v>
      </c>
      <c r="D615" s="8" t="s">
        <v>4095</v>
      </c>
      <c r="E615" s="8" t="s">
        <v>4096</v>
      </c>
      <c r="F615" s="8" t="s">
        <v>4097</v>
      </c>
      <c r="G615" s="6" t="s">
        <v>37</v>
      </c>
      <c r="H615" s="6" t="s">
        <v>38</v>
      </c>
      <c r="I615" s="8" t="s">
        <v>83</v>
      </c>
      <c r="J615" s="9">
        <v>1</v>
      </c>
      <c r="K615" s="9">
        <v>160</v>
      </c>
      <c r="L615" s="9">
        <v>2021</v>
      </c>
      <c r="M615" s="8" t="s">
        <v>4098</v>
      </c>
      <c r="N615" s="8" t="s">
        <v>41</v>
      </c>
      <c r="O615" s="8" t="s">
        <v>54</v>
      </c>
      <c r="P615" s="6" t="s">
        <v>65</v>
      </c>
      <c r="Q615" s="8" t="s">
        <v>86</v>
      </c>
      <c r="R615" s="10" t="s">
        <v>4099</v>
      </c>
      <c r="S615" s="11" t="s">
        <v>4100</v>
      </c>
      <c r="T615" s="6"/>
      <c r="U615" s="28" t="str">
        <f>HYPERLINK("https://media.infra-m.ru/1214/1214884/cover/1214884.jpg", "Обложка")</f>
        <v>Обложка</v>
      </c>
      <c r="V615" s="28" t="str">
        <f>HYPERLINK("https://znanium.com/catalog/product/1214884", "Ознакомиться")</f>
        <v>Ознакомиться</v>
      </c>
      <c r="W615" s="8" t="s">
        <v>2004</v>
      </c>
      <c r="X615" s="6"/>
      <c r="Y615" s="6"/>
      <c r="Z615" s="6"/>
      <c r="AA615" s="6" t="s">
        <v>464</v>
      </c>
    </row>
    <row r="616" spans="1:27" s="4" customFormat="1" ht="42" customHeight="1">
      <c r="A616" s="5">
        <v>0</v>
      </c>
      <c r="B616" s="6" t="s">
        <v>4101</v>
      </c>
      <c r="C616" s="7">
        <v>1484.9</v>
      </c>
      <c r="D616" s="8" t="s">
        <v>4102</v>
      </c>
      <c r="E616" s="8" t="s">
        <v>4103</v>
      </c>
      <c r="F616" s="8" t="s">
        <v>4104</v>
      </c>
      <c r="G616" s="6" t="s">
        <v>121</v>
      </c>
      <c r="H616" s="6" t="s">
        <v>38</v>
      </c>
      <c r="I616" s="8" t="s">
        <v>1102</v>
      </c>
      <c r="J616" s="9">
        <v>1</v>
      </c>
      <c r="K616" s="9">
        <v>424</v>
      </c>
      <c r="L616" s="9">
        <v>2020</v>
      </c>
      <c r="M616" s="8" t="s">
        <v>4105</v>
      </c>
      <c r="N616" s="8" t="s">
        <v>41</v>
      </c>
      <c r="O616" s="8" t="s">
        <v>64</v>
      </c>
      <c r="P616" s="6" t="s">
        <v>43</v>
      </c>
      <c r="Q616" s="8" t="s">
        <v>44</v>
      </c>
      <c r="R616" s="10"/>
      <c r="S616" s="11"/>
      <c r="T616" s="6"/>
      <c r="U616" s="28" t="str">
        <f>HYPERLINK("https://media.infra-m.ru/1044/1044616/cover/1044616.jpg", "Обложка")</f>
        <v>Обложка</v>
      </c>
      <c r="V616" s="12"/>
      <c r="W616" s="8" t="s">
        <v>463</v>
      </c>
      <c r="X616" s="6"/>
      <c r="Y616" s="6"/>
      <c r="Z616" s="6"/>
      <c r="AA616" s="6" t="s">
        <v>91</v>
      </c>
    </row>
    <row r="617" spans="1:27" s="4" customFormat="1" ht="51.95" customHeight="1">
      <c r="A617" s="5">
        <v>0</v>
      </c>
      <c r="B617" s="6" t="s">
        <v>4106</v>
      </c>
      <c r="C617" s="13">
        <v>894</v>
      </c>
      <c r="D617" s="8" t="s">
        <v>4107</v>
      </c>
      <c r="E617" s="8" t="s">
        <v>4108</v>
      </c>
      <c r="F617" s="8" t="s">
        <v>4109</v>
      </c>
      <c r="G617" s="6" t="s">
        <v>121</v>
      </c>
      <c r="H617" s="6" t="s">
        <v>38</v>
      </c>
      <c r="I617" s="8" t="s">
        <v>4110</v>
      </c>
      <c r="J617" s="9">
        <v>1</v>
      </c>
      <c r="K617" s="9">
        <v>196</v>
      </c>
      <c r="L617" s="9">
        <v>2023</v>
      </c>
      <c r="M617" s="8" t="s">
        <v>4111</v>
      </c>
      <c r="N617" s="8" t="s">
        <v>41</v>
      </c>
      <c r="O617" s="8" t="s">
        <v>54</v>
      </c>
      <c r="P617" s="6" t="s">
        <v>65</v>
      </c>
      <c r="Q617" s="8" t="s">
        <v>86</v>
      </c>
      <c r="R617" s="10" t="s">
        <v>4112</v>
      </c>
      <c r="S617" s="11" t="s">
        <v>4113</v>
      </c>
      <c r="T617" s="6"/>
      <c r="U617" s="28" t="str">
        <f>HYPERLINK("https://media.infra-m.ru/1894/1894551/cover/1894551.jpg", "Обложка")</f>
        <v>Обложка</v>
      </c>
      <c r="V617" s="28" t="str">
        <f>HYPERLINK("https://znanium.com/catalog/product/1014191", "Ознакомиться")</f>
        <v>Ознакомиться</v>
      </c>
      <c r="W617" s="8" t="s">
        <v>590</v>
      </c>
      <c r="X617" s="6"/>
      <c r="Y617" s="6"/>
      <c r="Z617" s="6"/>
      <c r="AA617" s="6" t="s">
        <v>135</v>
      </c>
    </row>
    <row r="618" spans="1:27" s="4" customFormat="1" ht="51.95" customHeight="1">
      <c r="A618" s="5">
        <v>0</v>
      </c>
      <c r="B618" s="6" t="s">
        <v>4114</v>
      </c>
      <c r="C618" s="7">
        <v>1274</v>
      </c>
      <c r="D618" s="8" t="s">
        <v>4115</v>
      </c>
      <c r="E618" s="8" t="s">
        <v>4116</v>
      </c>
      <c r="F618" s="8" t="s">
        <v>4117</v>
      </c>
      <c r="G618" s="6" t="s">
        <v>37</v>
      </c>
      <c r="H618" s="6" t="s">
        <v>38</v>
      </c>
      <c r="I618" s="8" t="s">
        <v>2029</v>
      </c>
      <c r="J618" s="9">
        <v>1</v>
      </c>
      <c r="K618" s="9">
        <v>280</v>
      </c>
      <c r="L618" s="9">
        <v>2023</v>
      </c>
      <c r="M618" s="8" t="s">
        <v>4118</v>
      </c>
      <c r="N618" s="8" t="s">
        <v>41</v>
      </c>
      <c r="O618" s="8" t="s">
        <v>97</v>
      </c>
      <c r="P618" s="6" t="s">
        <v>65</v>
      </c>
      <c r="Q618" s="8" t="s">
        <v>66</v>
      </c>
      <c r="R618" s="10" t="s">
        <v>4119</v>
      </c>
      <c r="S618" s="11" t="s">
        <v>4120</v>
      </c>
      <c r="T618" s="6"/>
      <c r="U618" s="28" t="str">
        <f>HYPERLINK("https://media.infra-m.ru/2006/2006823/cover/2006823.jpg", "Обложка")</f>
        <v>Обложка</v>
      </c>
      <c r="V618" s="12"/>
      <c r="W618" s="8" t="s">
        <v>463</v>
      </c>
      <c r="X618" s="6"/>
      <c r="Y618" s="6"/>
      <c r="Z618" s="6"/>
      <c r="AA618" s="6" t="s">
        <v>91</v>
      </c>
    </row>
    <row r="619" spans="1:27" s="4" customFormat="1" ht="51.95" customHeight="1">
      <c r="A619" s="5">
        <v>0</v>
      </c>
      <c r="B619" s="6" t="s">
        <v>4121</v>
      </c>
      <c r="C619" s="7">
        <v>1534.9</v>
      </c>
      <c r="D619" s="8" t="s">
        <v>4122</v>
      </c>
      <c r="E619" s="8" t="s">
        <v>4123</v>
      </c>
      <c r="F619" s="8" t="s">
        <v>4124</v>
      </c>
      <c r="G619" s="6" t="s">
        <v>121</v>
      </c>
      <c r="H619" s="6" t="s">
        <v>38</v>
      </c>
      <c r="I619" s="8" t="s">
        <v>83</v>
      </c>
      <c r="J619" s="9">
        <v>1</v>
      </c>
      <c r="K619" s="9">
        <v>480</v>
      </c>
      <c r="L619" s="9">
        <v>2020</v>
      </c>
      <c r="M619" s="8" t="s">
        <v>4125</v>
      </c>
      <c r="N619" s="8" t="s">
        <v>41</v>
      </c>
      <c r="O619" s="8" t="s">
        <v>54</v>
      </c>
      <c r="P619" s="6" t="s">
        <v>65</v>
      </c>
      <c r="Q619" s="8" t="s">
        <v>86</v>
      </c>
      <c r="R619" s="10" t="s">
        <v>4126</v>
      </c>
      <c r="S619" s="11" t="s">
        <v>4127</v>
      </c>
      <c r="T619" s="6"/>
      <c r="U619" s="28" t="str">
        <f>HYPERLINK("https://media.infra-m.ru/1036/1036624/cover/1036624.jpg", "Обложка")</f>
        <v>Обложка</v>
      </c>
      <c r="V619" s="28" t="str">
        <f>HYPERLINK("https://znanium.com/catalog/product/1873256", "Ознакомиться")</f>
        <v>Ознакомиться</v>
      </c>
      <c r="W619" s="8" t="s">
        <v>1001</v>
      </c>
      <c r="X619" s="6"/>
      <c r="Y619" s="6"/>
      <c r="Z619" s="6"/>
      <c r="AA619" s="6" t="s">
        <v>100</v>
      </c>
    </row>
    <row r="620" spans="1:27" s="4" customFormat="1" ht="51.95" customHeight="1">
      <c r="A620" s="5">
        <v>0</v>
      </c>
      <c r="B620" s="6" t="s">
        <v>4128</v>
      </c>
      <c r="C620" s="13">
        <v>734</v>
      </c>
      <c r="D620" s="8" t="s">
        <v>4129</v>
      </c>
      <c r="E620" s="8" t="s">
        <v>4123</v>
      </c>
      <c r="F620" s="8" t="s">
        <v>4130</v>
      </c>
      <c r="G620" s="6" t="s">
        <v>121</v>
      </c>
      <c r="H620" s="6" t="s">
        <v>38</v>
      </c>
      <c r="I620" s="8" t="s">
        <v>62</v>
      </c>
      <c r="J620" s="9">
        <v>1</v>
      </c>
      <c r="K620" s="9">
        <v>160</v>
      </c>
      <c r="L620" s="9">
        <v>2024</v>
      </c>
      <c r="M620" s="8" t="s">
        <v>4131</v>
      </c>
      <c r="N620" s="8" t="s">
        <v>41</v>
      </c>
      <c r="O620" s="8" t="s">
        <v>54</v>
      </c>
      <c r="P620" s="6" t="s">
        <v>65</v>
      </c>
      <c r="Q620" s="8" t="s">
        <v>66</v>
      </c>
      <c r="R620" s="10" t="s">
        <v>4132</v>
      </c>
      <c r="S620" s="11" t="s">
        <v>4133</v>
      </c>
      <c r="T620" s="6"/>
      <c r="U620" s="28" t="str">
        <f>HYPERLINK("https://media.infra-m.ru/2103/2103127/cover/2103127.jpg", "Обложка")</f>
        <v>Обложка</v>
      </c>
      <c r="V620" s="28" t="str">
        <f>HYPERLINK("https://znanium.com/catalog/product/1044508", "Ознакомиться")</f>
        <v>Ознакомиться</v>
      </c>
      <c r="W620" s="8" t="s">
        <v>216</v>
      </c>
      <c r="X620" s="6"/>
      <c r="Y620" s="6"/>
      <c r="Z620" s="6"/>
      <c r="AA620" s="6" t="s">
        <v>161</v>
      </c>
    </row>
    <row r="621" spans="1:27" s="4" customFormat="1" ht="51.95" customHeight="1">
      <c r="A621" s="5">
        <v>0</v>
      </c>
      <c r="B621" s="6" t="s">
        <v>4134</v>
      </c>
      <c r="C621" s="7">
        <v>1874</v>
      </c>
      <c r="D621" s="8" t="s">
        <v>4135</v>
      </c>
      <c r="E621" s="8" t="s">
        <v>4136</v>
      </c>
      <c r="F621" s="8" t="s">
        <v>4137</v>
      </c>
      <c r="G621" s="6" t="s">
        <v>121</v>
      </c>
      <c r="H621" s="6" t="s">
        <v>38</v>
      </c>
      <c r="I621" s="8" t="s">
        <v>62</v>
      </c>
      <c r="J621" s="9">
        <v>1</v>
      </c>
      <c r="K621" s="9">
        <v>408</v>
      </c>
      <c r="L621" s="9">
        <v>2024</v>
      </c>
      <c r="M621" s="8" t="s">
        <v>4138</v>
      </c>
      <c r="N621" s="8" t="s">
        <v>41</v>
      </c>
      <c r="O621" s="8" t="s">
        <v>54</v>
      </c>
      <c r="P621" s="6" t="s">
        <v>65</v>
      </c>
      <c r="Q621" s="8" t="s">
        <v>66</v>
      </c>
      <c r="R621" s="10" t="s">
        <v>4139</v>
      </c>
      <c r="S621" s="11" t="s">
        <v>4140</v>
      </c>
      <c r="T621" s="6"/>
      <c r="U621" s="28" t="str">
        <f>HYPERLINK("https://media.infra-m.ru/2053/2053237/cover/2053237.jpg", "Обложка")</f>
        <v>Обложка</v>
      </c>
      <c r="V621" s="28" t="str">
        <f>HYPERLINK("https://znanium.com/catalog/product/1228806", "Ознакомиться")</f>
        <v>Ознакомиться</v>
      </c>
      <c r="W621" s="8" t="s">
        <v>713</v>
      </c>
      <c r="X621" s="6"/>
      <c r="Y621" s="6"/>
      <c r="Z621" s="6"/>
      <c r="AA621" s="6" t="s">
        <v>1796</v>
      </c>
    </row>
    <row r="622" spans="1:27" s="4" customFormat="1" ht="44.1" customHeight="1">
      <c r="A622" s="5">
        <v>0</v>
      </c>
      <c r="B622" s="6" t="s">
        <v>4141</v>
      </c>
      <c r="C622" s="13">
        <v>690</v>
      </c>
      <c r="D622" s="8" t="s">
        <v>4142</v>
      </c>
      <c r="E622" s="8" t="s">
        <v>4143</v>
      </c>
      <c r="F622" s="8" t="s">
        <v>2225</v>
      </c>
      <c r="G622" s="6" t="s">
        <v>52</v>
      </c>
      <c r="H622" s="6" t="s">
        <v>38</v>
      </c>
      <c r="I622" s="8" t="s">
        <v>39</v>
      </c>
      <c r="J622" s="9">
        <v>1</v>
      </c>
      <c r="K622" s="9">
        <v>183</v>
      </c>
      <c r="L622" s="9">
        <v>2022</v>
      </c>
      <c r="M622" s="8" t="s">
        <v>4144</v>
      </c>
      <c r="N622" s="8" t="s">
        <v>41</v>
      </c>
      <c r="O622" s="8" t="s">
        <v>64</v>
      </c>
      <c r="P622" s="6" t="s">
        <v>43</v>
      </c>
      <c r="Q622" s="8" t="s">
        <v>44</v>
      </c>
      <c r="R622" s="10" t="s">
        <v>4145</v>
      </c>
      <c r="S622" s="11"/>
      <c r="T622" s="6"/>
      <c r="U622" s="28" t="str">
        <f>HYPERLINK("https://media.infra-m.ru/1316/1316649/cover/1316649.jpg", "Обложка")</f>
        <v>Обложка</v>
      </c>
      <c r="V622" s="28" t="str">
        <f>HYPERLINK("https://znanium.com/catalog/product/1316649", "Ознакомиться")</f>
        <v>Ознакомиться</v>
      </c>
      <c r="W622" s="8"/>
      <c r="X622" s="6"/>
      <c r="Y622" s="6"/>
      <c r="Z622" s="6"/>
      <c r="AA622" s="6" t="s">
        <v>78</v>
      </c>
    </row>
    <row r="623" spans="1:27" s="4" customFormat="1" ht="42" customHeight="1">
      <c r="A623" s="5">
        <v>0</v>
      </c>
      <c r="B623" s="6" t="s">
        <v>4146</v>
      </c>
      <c r="C623" s="13">
        <v>934.9</v>
      </c>
      <c r="D623" s="8" t="s">
        <v>4147</v>
      </c>
      <c r="E623" s="8" t="s">
        <v>4148</v>
      </c>
      <c r="F623" s="8" t="s">
        <v>4149</v>
      </c>
      <c r="G623" s="6" t="s">
        <v>121</v>
      </c>
      <c r="H623" s="6" t="s">
        <v>38</v>
      </c>
      <c r="I623" s="8" t="s">
        <v>1102</v>
      </c>
      <c r="J623" s="9">
        <v>1</v>
      </c>
      <c r="K623" s="9">
        <v>239</v>
      </c>
      <c r="L623" s="9">
        <v>2022</v>
      </c>
      <c r="M623" s="8" t="s">
        <v>4150</v>
      </c>
      <c r="N623" s="8" t="s">
        <v>41</v>
      </c>
      <c r="O623" s="8" t="s">
        <v>42</v>
      </c>
      <c r="P623" s="6" t="s">
        <v>43</v>
      </c>
      <c r="Q623" s="8" t="s">
        <v>44</v>
      </c>
      <c r="R623" s="10" t="s">
        <v>1309</v>
      </c>
      <c r="S623" s="11"/>
      <c r="T623" s="6"/>
      <c r="U623" s="28" t="str">
        <f>HYPERLINK("https://media.infra-m.ru/1859/1859827/cover/1859827.jpg", "Обложка")</f>
        <v>Обложка</v>
      </c>
      <c r="V623" s="12"/>
      <c r="W623" s="8" t="s">
        <v>4151</v>
      </c>
      <c r="X623" s="6"/>
      <c r="Y623" s="6"/>
      <c r="Z623" s="6"/>
      <c r="AA623" s="6" t="s">
        <v>91</v>
      </c>
    </row>
    <row r="624" spans="1:27" s="4" customFormat="1" ht="51.95" customHeight="1">
      <c r="A624" s="5">
        <v>0</v>
      </c>
      <c r="B624" s="6" t="s">
        <v>4152</v>
      </c>
      <c r="C624" s="7">
        <v>1074.9000000000001</v>
      </c>
      <c r="D624" s="8" t="s">
        <v>4153</v>
      </c>
      <c r="E624" s="8" t="s">
        <v>4154</v>
      </c>
      <c r="F624" s="8" t="s">
        <v>4155</v>
      </c>
      <c r="G624" s="6" t="s">
        <v>121</v>
      </c>
      <c r="H624" s="6" t="s">
        <v>122</v>
      </c>
      <c r="I624" s="8" t="s">
        <v>298</v>
      </c>
      <c r="J624" s="9">
        <v>1</v>
      </c>
      <c r="K624" s="9">
        <v>238</v>
      </c>
      <c r="L624" s="9">
        <v>2023</v>
      </c>
      <c r="M624" s="8" t="s">
        <v>4156</v>
      </c>
      <c r="N624" s="8" t="s">
        <v>41</v>
      </c>
      <c r="O624" s="8" t="s">
        <v>54</v>
      </c>
      <c r="P624" s="6" t="s">
        <v>65</v>
      </c>
      <c r="Q624" s="8" t="s">
        <v>66</v>
      </c>
      <c r="R624" s="10" t="s">
        <v>4157</v>
      </c>
      <c r="S624" s="11"/>
      <c r="T624" s="6"/>
      <c r="U624" s="28" t="str">
        <f>HYPERLINK("https://media.infra-m.ru/1895/1895939/cover/1895939.jpg", "Обложка")</f>
        <v>Обложка</v>
      </c>
      <c r="V624" s="28" t="str">
        <f>HYPERLINK("https://znanium.com/catalog/product/1021442", "Ознакомиться")</f>
        <v>Ознакомиться</v>
      </c>
      <c r="W624" s="8" t="s">
        <v>620</v>
      </c>
      <c r="X624" s="6"/>
      <c r="Y624" s="6"/>
      <c r="Z624" s="6"/>
      <c r="AA624" s="6" t="s">
        <v>320</v>
      </c>
    </row>
    <row r="625" spans="1:27" s="4" customFormat="1" ht="42" customHeight="1">
      <c r="A625" s="5">
        <v>0</v>
      </c>
      <c r="B625" s="6" t="s">
        <v>4158</v>
      </c>
      <c r="C625" s="7">
        <v>1124.9000000000001</v>
      </c>
      <c r="D625" s="8" t="s">
        <v>4159</v>
      </c>
      <c r="E625" s="8" t="s">
        <v>4160</v>
      </c>
      <c r="F625" s="8" t="s">
        <v>4161</v>
      </c>
      <c r="G625" s="6" t="s">
        <v>52</v>
      </c>
      <c r="H625" s="6" t="s">
        <v>38</v>
      </c>
      <c r="I625" s="8" t="s">
        <v>2194</v>
      </c>
      <c r="J625" s="9">
        <v>1</v>
      </c>
      <c r="K625" s="9">
        <v>249</v>
      </c>
      <c r="L625" s="9">
        <v>2023</v>
      </c>
      <c r="M625" s="8" t="s">
        <v>4162</v>
      </c>
      <c r="N625" s="8" t="s">
        <v>41</v>
      </c>
      <c r="O625" s="8" t="s">
        <v>54</v>
      </c>
      <c r="P625" s="6" t="s">
        <v>43</v>
      </c>
      <c r="Q625" s="8" t="s">
        <v>44</v>
      </c>
      <c r="R625" s="10" t="s">
        <v>4163</v>
      </c>
      <c r="S625" s="11"/>
      <c r="T625" s="6"/>
      <c r="U625" s="28" t="str">
        <f>HYPERLINK("https://media.infra-m.ru/2006/2006936/cover/2006936.jpg", "Обложка")</f>
        <v>Обложка</v>
      </c>
      <c r="V625" s="28" t="str">
        <f>HYPERLINK("https://znanium.com/catalog/product/1041304", "Ознакомиться")</f>
        <v>Ознакомиться</v>
      </c>
      <c r="W625" s="8" t="s">
        <v>963</v>
      </c>
      <c r="X625" s="6"/>
      <c r="Y625" s="6"/>
      <c r="Z625" s="6"/>
      <c r="AA625" s="6" t="s">
        <v>193</v>
      </c>
    </row>
    <row r="626" spans="1:27" s="4" customFormat="1" ht="51.95" customHeight="1">
      <c r="A626" s="5">
        <v>0</v>
      </c>
      <c r="B626" s="6" t="s">
        <v>4164</v>
      </c>
      <c r="C626" s="7">
        <v>1444.9</v>
      </c>
      <c r="D626" s="8" t="s">
        <v>4165</v>
      </c>
      <c r="E626" s="8" t="s">
        <v>4166</v>
      </c>
      <c r="F626" s="8" t="s">
        <v>4167</v>
      </c>
      <c r="G626" s="6" t="s">
        <v>121</v>
      </c>
      <c r="H626" s="6" t="s">
        <v>38</v>
      </c>
      <c r="I626" s="8" t="s">
        <v>62</v>
      </c>
      <c r="J626" s="9">
        <v>1</v>
      </c>
      <c r="K626" s="9">
        <v>320</v>
      </c>
      <c r="L626" s="9">
        <v>2023</v>
      </c>
      <c r="M626" s="8" t="s">
        <v>4168</v>
      </c>
      <c r="N626" s="8" t="s">
        <v>41</v>
      </c>
      <c r="O626" s="8" t="s">
        <v>97</v>
      </c>
      <c r="P626" s="6" t="s">
        <v>65</v>
      </c>
      <c r="Q626" s="8" t="s">
        <v>66</v>
      </c>
      <c r="R626" s="10" t="s">
        <v>4169</v>
      </c>
      <c r="S626" s="11"/>
      <c r="T626" s="6"/>
      <c r="U626" s="28" t="str">
        <f>HYPERLINK("https://media.infra-m.ru/1981/1981680/cover/1981680.jpg", "Обложка")</f>
        <v>Обложка</v>
      </c>
      <c r="V626" s="28" t="str">
        <f>HYPERLINK("https://znanium.com/catalog/product/1031328", "Ознакомиться")</f>
        <v>Ознакомиться</v>
      </c>
      <c r="W626" s="8" t="s">
        <v>3479</v>
      </c>
      <c r="X626" s="6"/>
      <c r="Y626" s="6"/>
      <c r="Z626" s="6"/>
      <c r="AA626" s="6" t="s">
        <v>161</v>
      </c>
    </row>
    <row r="627" spans="1:27" s="4" customFormat="1" ht="51.95" customHeight="1">
      <c r="A627" s="5">
        <v>0</v>
      </c>
      <c r="B627" s="6" t="s">
        <v>4170</v>
      </c>
      <c r="C627" s="13">
        <v>950</v>
      </c>
      <c r="D627" s="8" t="s">
        <v>4171</v>
      </c>
      <c r="E627" s="8" t="s">
        <v>4172</v>
      </c>
      <c r="F627" s="8" t="s">
        <v>4173</v>
      </c>
      <c r="G627" s="6" t="s">
        <v>37</v>
      </c>
      <c r="H627" s="6" t="s">
        <v>122</v>
      </c>
      <c r="I627" s="8" t="s">
        <v>298</v>
      </c>
      <c r="J627" s="9">
        <v>1</v>
      </c>
      <c r="K627" s="9">
        <v>199</v>
      </c>
      <c r="L627" s="9">
        <v>2023</v>
      </c>
      <c r="M627" s="8" t="s">
        <v>4174</v>
      </c>
      <c r="N627" s="8" t="s">
        <v>41</v>
      </c>
      <c r="O627" s="8" t="s">
        <v>97</v>
      </c>
      <c r="P627" s="6" t="s">
        <v>65</v>
      </c>
      <c r="Q627" s="8" t="s">
        <v>66</v>
      </c>
      <c r="R627" s="10" t="s">
        <v>4175</v>
      </c>
      <c r="S627" s="11"/>
      <c r="T627" s="6"/>
      <c r="U627" s="28" t="str">
        <f>HYPERLINK("https://media.infra-m.ru/1905/1905602/cover/1905602.jpg", "Обложка")</f>
        <v>Обложка</v>
      </c>
      <c r="V627" s="28" t="str">
        <f>HYPERLINK("https://znanium.com/catalog/product/1905602", "Ознакомиться")</f>
        <v>Ознакомиться</v>
      </c>
      <c r="W627" s="8"/>
      <c r="X627" s="6"/>
      <c r="Y627" s="6"/>
      <c r="Z627" s="6"/>
      <c r="AA627" s="6" t="s">
        <v>70</v>
      </c>
    </row>
    <row r="628" spans="1:27" s="4" customFormat="1" ht="51.95" customHeight="1">
      <c r="A628" s="5">
        <v>0</v>
      </c>
      <c r="B628" s="6" t="s">
        <v>4176</v>
      </c>
      <c r="C628" s="13">
        <v>990</v>
      </c>
      <c r="D628" s="8" t="s">
        <v>4177</v>
      </c>
      <c r="E628" s="8" t="s">
        <v>4178</v>
      </c>
      <c r="F628" s="8" t="s">
        <v>4179</v>
      </c>
      <c r="G628" s="6" t="s">
        <v>37</v>
      </c>
      <c r="H628" s="6" t="s">
        <v>38</v>
      </c>
      <c r="I628" s="8" t="s">
        <v>130</v>
      </c>
      <c r="J628" s="9">
        <v>1</v>
      </c>
      <c r="K628" s="9">
        <v>214</v>
      </c>
      <c r="L628" s="9">
        <v>2024</v>
      </c>
      <c r="M628" s="8" t="s">
        <v>4180</v>
      </c>
      <c r="N628" s="8" t="s">
        <v>41</v>
      </c>
      <c r="O628" s="8" t="s">
        <v>64</v>
      </c>
      <c r="P628" s="6" t="s">
        <v>85</v>
      </c>
      <c r="Q628" s="8" t="s">
        <v>132</v>
      </c>
      <c r="R628" s="10" t="s">
        <v>4181</v>
      </c>
      <c r="S628" s="11" t="s">
        <v>4182</v>
      </c>
      <c r="T628" s="6"/>
      <c r="U628" s="28" t="str">
        <f>HYPERLINK("https://media.infra-m.ru/2069/2069319/cover/2069319.jpg", "Обложка")</f>
        <v>Обложка</v>
      </c>
      <c r="V628" s="28" t="str">
        <f>HYPERLINK("https://znanium.com/catalog/product/2069319", "Ознакомиться")</f>
        <v>Ознакомиться</v>
      </c>
      <c r="W628" s="8" t="s">
        <v>730</v>
      </c>
      <c r="X628" s="6"/>
      <c r="Y628" s="6"/>
      <c r="Z628" s="6"/>
      <c r="AA628" s="6" t="s">
        <v>135</v>
      </c>
    </row>
    <row r="629" spans="1:27" s="4" customFormat="1" ht="51.95" customHeight="1">
      <c r="A629" s="5">
        <v>0</v>
      </c>
      <c r="B629" s="6" t="s">
        <v>4183</v>
      </c>
      <c r="C629" s="7">
        <v>1074.9000000000001</v>
      </c>
      <c r="D629" s="8" t="s">
        <v>4184</v>
      </c>
      <c r="E629" s="8" t="s">
        <v>4185</v>
      </c>
      <c r="F629" s="8" t="s">
        <v>4186</v>
      </c>
      <c r="G629" s="6" t="s">
        <v>121</v>
      </c>
      <c r="H629" s="6" t="s">
        <v>38</v>
      </c>
      <c r="I629" s="8" t="s">
        <v>62</v>
      </c>
      <c r="J629" s="9">
        <v>12</v>
      </c>
      <c r="K629" s="9">
        <v>336</v>
      </c>
      <c r="L629" s="9">
        <v>2020</v>
      </c>
      <c r="M629" s="8" t="s">
        <v>4187</v>
      </c>
      <c r="N629" s="8" t="s">
        <v>41</v>
      </c>
      <c r="O629" s="8" t="s">
        <v>97</v>
      </c>
      <c r="P629" s="6" t="s">
        <v>85</v>
      </c>
      <c r="Q629" s="8" t="s">
        <v>66</v>
      </c>
      <c r="R629" s="10" t="s">
        <v>4188</v>
      </c>
      <c r="S629" s="11" t="s">
        <v>4189</v>
      </c>
      <c r="T629" s="6" t="s">
        <v>89</v>
      </c>
      <c r="U629" s="28" t="str">
        <f>HYPERLINK("https://media.infra-m.ru/1032/1032231/cover/1032231.jpg", "Обложка")</f>
        <v>Обложка</v>
      </c>
      <c r="V629" s="28" t="str">
        <f>HYPERLINK("https://znanium.com/catalog/product/1041945", "Ознакомиться")</f>
        <v>Ознакомиться</v>
      </c>
      <c r="W629" s="8" t="s">
        <v>814</v>
      </c>
      <c r="X629" s="6"/>
      <c r="Y629" s="6"/>
      <c r="Z629" s="6"/>
      <c r="AA629" s="6" t="s">
        <v>100</v>
      </c>
    </row>
    <row r="630" spans="1:27" s="4" customFormat="1" ht="51.95" customHeight="1">
      <c r="A630" s="5">
        <v>0</v>
      </c>
      <c r="B630" s="6" t="s">
        <v>4190</v>
      </c>
      <c r="C630" s="7">
        <v>1290</v>
      </c>
      <c r="D630" s="8" t="s">
        <v>4191</v>
      </c>
      <c r="E630" s="8" t="s">
        <v>4192</v>
      </c>
      <c r="F630" s="8" t="s">
        <v>4193</v>
      </c>
      <c r="G630" s="6" t="s">
        <v>37</v>
      </c>
      <c r="H630" s="6" t="s">
        <v>38</v>
      </c>
      <c r="I630" s="8" t="s">
        <v>83</v>
      </c>
      <c r="J630" s="9">
        <v>1</v>
      </c>
      <c r="K630" s="9">
        <v>404</v>
      </c>
      <c r="L630" s="9">
        <v>2022</v>
      </c>
      <c r="M630" s="8" t="s">
        <v>4194</v>
      </c>
      <c r="N630" s="8" t="s">
        <v>41</v>
      </c>
      <c r="O630" s="8" t="s">
        <v>97</v>
      </c>
      <c r="P630" s="6" t="s">
        <v>85</v>
      </c>
      <c r="Q630" s="8" t="s">
        <v>86</v>
      </c>
      <c r="R630" s="10" t="s">
        <v>4188</v>
      </c>
      <c r="S630" s="11" t="s">
        <v>4195</v>
      </c>
      <c r="T630" s="6"/>
      <c r="U630" s="28" t="str">
        <f>HYPERLINK("https://media.infra-m.ru/1041/1041945/cover/1041945.jpg", "Обложка")</f>
        <v>Обложка</v>
      </c>
      <c r="V630" s="28" t="str">
        <f>HYPERLINK("https://znanium.com/catalog/product/1041945", "Ознакомиться")</f>
        <v>Ознакомиться</v>
      </c>
      <c r="W630" s="8" t="s">
        <v>814</v>
      </c>
      <c r="X630" s="6"/>
      <c r="Y630" s="6"/>
      <c r="Z630" s="6"/>
      <c r="AA630" s="6" t="s">
        <v>530</v>
      </c>
    </row>
    <row r="631" spans="1:27" s="4" customFormat="1" ht="51.95" customHeight="1">
      <c r="A631" s="5">
        <v>0</v>
      </c>
      <c r="B631" s="6" t="s">
        <v>4196</v>
      </c>
      <c r="C631" s="7">
        <v>1914.9</v>
      </c>
      <c r="D631" s="8" t="s">
        <v>4197</v>
      </c>
      <c r="E631" s="8" t="s">
        <v>4198</v>
      </c>
      <c r="F631" s="8" t="s">
        <v>4199</v>
      </c>
      <c r="G631" s="6" t="s">
        <v>121</v>
      </c>
      <c r="H631" s="6" t="s">
        <v>38</v>
      </c>
      <c r="I631" s="8" t="s">
        <v>130</v>
      </c>
      <c r="J631" s="9">
        <v>1</v>
      </c>
      <c r="K631" s="9">
        <v>528</v>
      </c>
      <c r="L631" s="9">
        <v>2022</v>
      </c>
      <c r="M631" s="8" t="s">
        <v>4200</v>
      </c>
      <c r="N631" s="8" t="s">
        <v>41</v>
      </c>
      <c r="O631" s="8" t="s">
        <v>97</v>
      </c>
      <c r="P631" s="6" t="s">
        <v>85</v>
      </c>
      <c r="Q631" s="8" t="s">
        <v>66</v>
      </c>
      <c r="R631" s="10" t="s">
        <v>4201</v>
      </c>
      <c r="S631" s="11" t="s">
        <v>4202</v>
      </c>
      <c r="T631" s="6"/>
      <c r="U631" s="28" t="str">
        <f>HYPERLINK("https://media.infra-m.ru/1852/1852198/cover/1852198.jpg", "Обложка")</f>
        <v>Обложка</v>
      </c>
      <c r="V631" s="28" t="str">
        <f>HYPERLINK("https://znanium.com/catalog/product/1009070", "Ознакомиться")</f>
        <v>Ознакомиться</v>
      </c>
      <c r="W631" s="8" t="s">
        <v>169</v>
      </c>
      <c r="X631" s="6"/>
      <c r="Y631" s="6"/>
      <c r="Z631" s="6"/>
      <c r="AA631" s="6" t="s">
        <v>100</v>
      </c>
    </row>
    <row r="632" spans="1:27" s="4" customFormat="1" ht="51.95" customHeight="1">
      <c r="A632" s="5">
        <v>0</v>
      </c>
      <c r="B632" s="6" t="s">
        <v>4203</v>
      </c>
      <c r="C632" s="7">
        <v>1200</v>
      </c>
      <c r="D632" s="8" t="s">
        <v>4204</v>
      </c>
      <c r="E632" s="8" t="s">
        <v>4205</v>
      </c>
      <c r="F632" s="8" t="s">
        <v>4206</v>
      </c>
      <c r="G632" s="6" t="s">
        <v>121</v>
      </c>
      <c r="H632" s="6" t="s">
        <v>38</v>
      </c>
      <c r="I632" s="8" t="s">
        <v>2423</v>
      </c>
      <c r="J632" s="9">
        <v>1</v>
      </c>
      <c r="K632" s="9">
        <v>257</v>
      </c>
      <c r="L632" s="9">
        <v>2024</v>
      </c>
      <c r="M632" s="8" t="s">
        <v>4207</v>
      </c>
      <c r="N632" s="8" t="s">
        <v>41</v>
      </c>
      <c r="O632" s="8" t="s">
        <v>97</v>
      </c>
      <c r="P632" s="6" t="s">
        <v>65</v>
      </c>
      <c r="Q632" s="8" t="s">
        <v>132</v>
      </c>
      <c r="R632" s="10" t="s">
        <v>4208</v>
      </c>
      <c r="S632" s="11" t="s">
        <v>4209</v>
      </c>
      <c r="T632" s="6"/>
      <c r="U632" s="28" t="str">
        <f>HYPERLINK("https://media.infra-m.ru/2082/2082631/cover/2082631.jpg", "Обложка")</f>
        <v>Обложка</v>
      </c>
      <c r="V632" s="28" t="str">
        <f>HYPERLINK("https://znanium.com/catalog/product/2082631", "Ознакомиться")</f>
        <v>Ознакомиться</v>
      </c>
      <c r="W632" s="8" t="s">
        <v>2426</v>
      </c>
      <c r="X632" s="6" t="s">
        <v>1002</v>
      </c>
      <c r="Y632" s="6"/>
      <c r="Z632" s="6"/>
      <c r="AA632" s="6" t="s">
        <v>2126</v>
      </c>
    </row>
    <row r="633" spans="1:27" s="4" customFormat="1" ht="51.95" customHeight="1">
      <c r="A633" s="5">
        <v>0</v>
      </c>
      <c r="B633" s="6" t="s">
        <v>4210</v>
      </c>
      <c r="C633" s="13">
        <v>640</v>
      </c>
      <c r="D633" s="8" t="s">
        <v>4211</v>
      </c>
      <c r="E633" s="8" t="s">
        <v>4212</v>
      </c>
      <c r="F633" s="8" t="s">
        <v>546</v>
      </c>
      <c r="G633" s="6" t="s">
        <v>52</v>
      </c>
      <c r="H633" s="6" t="s">
        <v>38</v>
      </c>
      <c r="I633" s="8" t="s">
        <v>39</v>
      </c>
      <c r="J633" s="9">
        <v>1</v>
      </c>
      <c r="K633" s="9">
        <v>141</v>
      </c>
      <c r="L633" s="9">
        <v>2023</v>
      </c>
      <c r="M633" s="8" t="s">
        <v>4213</v>
      </c>
      <c r="N633" s="8" t="s">
        <v>41</v>
      </c>
      <c r="O633" s="8" t="s">
        <v>54</v>
      </c>
      <c r="P633" s="6" t="s">
        <v>43</v>
      </c>
      <c r="Q633" s="8" t="s">
        <v>44</v>
      </c>
      <c r="R633" s="10" t="s">
        <v>4214</v>
      </c>
      <c r="S633" s="11"/>
      <c r="T633" s="6"/>
      <c r="U633" s="28" t="str">
        <f>HYPERLINK("https://media.infra-m.ru/1911/1911732/cover/1911732.jpg", "Обложка")</f>
        <v>Обложка</v>
      </c>
      <c r="V633" s="28" t="str">
        <f>HYPERLINK("https://znanium.com/catalog/product/1911732", "Ознакомиться")</f>
        <v>Ознакомиться</v>
      </c>
      <c r="W633" s="8" t="s">
        <v>549</v>
      </c>
      <c r="X633" s="6"/>
      <c r="Y633" s="6"/>
      <c r="Z633" s="6"/>
      <c r="AA633" s="6" t="s">
        <v>70</v>
      </c>
    </row>
    <row r="634" spans="1:27" s="4" customFormat="1" ht="51.95" customHeight="1">
      <c r="A634" s="5">
        <v>0</v>
      </c>
      <c r="B634" s="6" t="s">
        <v>4215</v>
      </c>
      <c r="C634" s="13">
        <v>950</v>
      </c>
      <c r="D634" s="8" t="s">
        <v>4216</v>
      </c>
      <c r="E634" s="8" t="s">
        <v>4217</v>
      </c>
      <c r="F634" s="8" t="s">
        <v>1167</v>
      </c>
      <c r="G634" s="6" t="s">
        <v>37</v>
      </c>
      <c r="H634" s="6" t="s">
        <v>38</v>
      </c>
      <c r="I634" s="8" t="s">
        <v>130</v>
      </c>
      <c r="J634" s="9">
        <v>1</v>
      </c>
      <c r="K634" s="9">
        <v>206</v>
      </c>
      <c r="L634" s="9">
        <v>2024</v>
      </c>
      <c r="M634" s="8" t="s">
        <v>4218</v>
      </c>
      <c r="N634" s="8" t="s">
        <v>41</v>
      </c>
      <c r="O634" s="8" t="s">
        <v>181</v>
      </c>
      <c r="P634" s="6" t="s">
        <v>65</v>
      </c>
      <c r="Q634" s="8" t="s">
        <v>66</v>
      </c>
      <c r="R634" s="10" t="s">
        <v>4219</v>
      </c>
      <c r="S634" s="11"/>
      <c r="T634" s="6"/>
      <c r="U634" s="28" t="str">
        <f>HYPERLINK("https://media.infra-m.ru/2091/2091922/cover/2091922.jpg", "Обложка")</f>
        <v>Обложка</v>
      </c>
      <c r="V634" s="28" t="str">
        <f>HYPERLINK("https://znanium.com/catalog/product/2091922", "Ознакомиться")</f>
        <v>Ознакомиться</v>
      </c>
      <c r="W634" s="8" t="s">
        <v>1170</v>
      </c>
      <c r="X634" s="6"/>
      <c r="Y634" s="6"/>
      <c r="Z634" s="6"/>
      <c r="AA634" s="6" t="s">
        <v>161</v>
      </c>
    </row>
    <row r="635" spans="1:27" s="4" customFormat="1" ht="51.95" customHeight="1">
      <c r="A635" s="5">
        <v>0</v>
      </c>
      <c r="B635" s="6" t="s">
        <v>4220</v>
      </c>
      <c r="C635" s="13">
        <v>790</v>
      </c>
      <c r="D635" s="8" t="s">
        <v>4221</v>
      </c>
      <c r="E635" s="8" t="s">
        <v>4222</v>
      </c>
      <c r="F635" s="8" t="s">
        <v>4223</v>
      </c>
      <c r="G635" s="6" t="s">
        <v>52</v>
      </c>
      <c r="H635" s="6" t="s">
        <v>38</v>
      </c>
      <c r="I635" s="8"/>
      <c r="J635" s="9">
        <v>1</v>
      </c>
      <c r="K635" s="9">
        <v>176</v>
      </c>
      <c r="L635" s="9">
        <v>2023</v>
      </c>
      <c r="M635" s="8" t="s">
        <v>4224</v>
      </c>
      <c r="N635" s="8" t="s">
        <v>41</v>
      </c>
      <c r="O635" s="8" t="s">
        <v>54</v>
      </c>
      <c r="P635" s="6" t="s">
        <v>65</v>
      </c>
      <c r="Q635" s="8" t="s">
        <v>66</v>
      </c>
      <c r="R635" s="10" t="s">
        <v>4225</v>
      </c>
      <c r="S635" s="11" t="s">
        <v>4226</v>
      </c>
      <c r="T635" s="6"/>
      <c r="U635" s="28" t="str">
        <f>HYPERLINK("https://media.infra-m.ru/2051/2051256/cover/2051256.jpg", "Обложка")</f>
        <v>Обложка</v>
      </c>
      <c r="V635" s="28" t="str">
        <f>HYPERLINK("https://znanium.com/catalog/product/1013459", "Ознакомиться")</f>
        <v>Ознакомиться</v>
      </c>
      <c r="W635" s="8" t="s">
        <v>582</v>
      </c>
      <c r="X635" s="6"/>
      <c r="Y635" s="6"/>
      <c r="Z635" s="6"/>
      <c r="AA635" s="6" t="s">
        <v>842</v>
      </c>
    </row>
    <row r="636" spans="1:27" s="4" customFormat="1" ht="42" customHeight="1">
      <c r="A636" s="5">
        <v>0</v>
      </c>
      <c r="B636" s="6" t="s">
        <v>4227</v>
      </c>
      <c r="C636" s="13">
        <v>600</v>
      </c>
      <c r="D636" s="8" t="s">
        <v>4228</v>
      </c>
      <c r="E636" s="8" t="s">
        <v>4229</v>
      </c>
      <c r="F636" s="8" t="s">
        <v>4230</v>
      </c>
      <c r="G636" s="6" t="s">
        <v>52</v>
      </c>
      <c r="H636" s="6" t="s">
        <v>38</v>
      </c>
      <c r="I636" s="8" t="s">
        <v>1347</v>
      </c>
      <c r="J636" s="9">
        <v>1</v>
      </c>
      <c r="K636" s="9">
        <v>151</v>
      </c>
      <c r="L636" s="9">
        <v>2019</v>
      </c>
      <c r="M636" s="8" t="s">
        <v>4231</v>
      </c>
      <c r="N636" s="8" t="s">
        <v>41</v>
      </c>
      <c r="O636" s="8" t="s">
        <v>54</v>
      </c>
      <c r="P636" s="6" t="s">
        <v>43</v>
      </c>
      <c r="Q636" s="8" t="s">
        <v>44</v>
      </c>
      <c r="R636" s="10" t="s">
        <v>4232</v>
      </c>
      <c r="S636" s="11"/>
      <c r="T636" s="6"/>
      <c r="U636" s="28" t="str">
        <f>HYPERLINK("https://media.infra-m.ru/0978/0978170/cover/978170.jpg", "Обложка")</f>
        <v>Обложка</v>
      </c>
      <c r="V636" s="28" t="str">
        <f>HYPERLINK("https://znanium.com/catalog/product/978170", "Ознакомиться")</f>
        <v>Ознакомиться</v>
      </c>
      <c r="W636" s="8" t="s">
        <v>590</v>
      </c>
      <c r="X636" s="6"/>
      <c r="Y636" s="6"/>
      <c r="Z636" s="6"/>
      <c r="AA636" s="6" t="s">
        <v>193</v>
      </c>
    </row>
    <row r="637" spans="1:27" s="4" customFormat="1" ht="51.95" customHeight="1">
      <c r="A637" s="5">
        <v>0</v>
      </c>
      <c r="B637" s="6" t="s">
        <v>4233</v>
      </c>
      <c r="C637" s="7">
        <v>1600</v>
      </c>
      <c r="D637" s="8" t="s">
        <v>4234</v>
      </c>
      <c r="E637" s="8" t="s">
        <v>4235</v>
      </c>
      <c r="F637" s="8" t="s">
        <v>4236</v>
      </c>
      <c r="G637" s="6" t="s">
        <v>37</v>
      </c>
      <c r="H637" s="6" t="s">
        <v>679</v>
      </c>
      <c r="I637" s="8"/>
      <c r="J637" s="9">
        <v>1</v>
      </c>
      <c r="K637" s="9">
        <v>528</v>
      </c>
      <c r="L637" s="9">
        <v>2022</v>
      </c>
      <c r="M637" s="8" t="s">
        <v>4237</v>
      </c>
      <c r="N637" s="8" t="s">
        <v>41</v>
      </c>
      <c r="O637" s="8" t="s">
        <v>54</v>
      </c>
      <c r="P637" s="6" t="s">
        <v>65</v>
      </c>
      <c r="Q637" s="8" t="s">
        <v>66</v>
      </c>
      <c r="R637" s="10" t="s">
        <v>4238</v>
      </c>
      <c r="S637" s="11"/>
      <c r="T637" s="6"/>
      <c r="U637" s="28" t="str">
        <f>HYPERLINK("https://media.infra-m.ru/1899/1899976/cover/1899976.jpg", "Обложка")</f>
        <v>Обложка</v>
      </c>
      <c r="V637" s="28" t="str">
        <f>HYPERLINK("https://znanium.com/catalog/product/1899976", "Ознакомиться")</f>
        <v>Ознакомиться</v>
      </c>
      <c r="W637" s="8" t="s">
        <v>1578</v>
      </c>
      <c r="X637" s="6"/>
      <c r="Y637" s="6"/>
      <c r="Z637" s="6"/>
      <c r="AA637" s="6" t="s">
        <v>1330</v>
      </c>
    </row>
    <row r="638" spans="1:27" s="4" customFormat="1" ht="51.95" customHeight="1">
      <c r="A638" s="5">
        <v>0</v>
      </c>
      <c r="B638" s="6" t="s">
        <v>4239</v>
      </c>
      <c r="C638" s="7">
        <v>2992</v>
      </c>
      <c r="D638" s="8" t="s">
        <v>4240</v>
      </c>
      <c r="E638" s="8" t="s">
        <v>4241</v>
      </c>
      <c r="F638" s="8" t="s">
        <v>4242</v>
      </c>
      <c r="G638" s="6" t="s">
        <v>37</v>
      </c>
      <c r="H638" s="6" t="s">
        <v>38</v>
      </c>
      <c r="I638" s="8" t="s">
        <v>130</v>
      </c>
      <c r="J638" s="9">
        <v>1</v>
      </c>
      <c r="K638" s="9">
        <v>512</v>
      </c>
      <c r="L638" s="9">
        <v>2023</v>
      </c>
      <c r="M638" s="8" t="s">
        <v>4243</v>
      </c>
      <c r="N638" s="8" t="s">
        <v>41</v>
      </c>
      <c r="O638" s="8" t="s">
        <v>54</v>
      </c>
      <c r="P638" s="6" t="s">
        <v>65</v>
      </c>
      <c r="Q638" s="8" t="s">
        <v>66</v>
      </c>
      <c r="R638" s="10" t="s">
        <v>4244</v>
      </c>
      <c r="S638" s="11" t="s">
        <v>4245</v>
      </c>
      <c r="T638" s="6"/>
      <c r="U638" s="28" t="str">
        <f>HYPERLINK("https://media.infra-m.ru/2002/2002583/cover/2002583.jpg", "Обложка")</f>
        <v>Обложка</v>
      </c>
      <c r="V638" s="28" t="str">
        <f>HYPERLINK("https://znanium.com/catalog/product/2002583", "Ознакомиться")</f>
        <v>Ознакомиться</v>
      </c>
      <c r="W638" s="8" t="s">
        <v>143</v>
      </c>
      <c r="X638" s="6"/>
      <c r="Y638" s="6"/>
      <c r="Z638" s="6"/>
      <c r="AA638" s="6" t="s">
        <v>320</v>
      </c>
    </row>
    <row r="639" spans="1:27" s="4" customFormat="1" ht="51.95" customHeight="1">
      <c r="A639" s="5">
        <v>0</v>
      </c>
      <c r="B639" s="6" t="s">
        <v>4246</v>
      </c>
      <c r="C639" s="7">
        <v>1490</v>
      </c>
      <c r="D639" s="8" t="s">
        <v>4247</v>
      </c>
      <c r="E639" s="8" t="s">
        <v>4248</v>
      </c>
      <c r="F639" s="8" t="s">
        <v>4249</v>
      </c>
      <c r="G639" s="6" t="s">
        <v>121</v>
      </c>
      <c r="H639" s="6" t="s">
        <v>38</v>
      </c>
      <c r="I639" s="8" t="s">
        <v>62</v>
      </c>
      <c r="J639" s="9">
        <v>1</v>
      </c>
      <c r="K639" s="9">
        <v>381</v>
      </c>
      <c r="L639" s="9">
        <v>2022</v>
      </c>
      <c r="M639" s="8" t="s">
        <v>4250</v>
      </c>
      <c r="N639" s="8" t="s">
        <v>41</v>
      </c>
      <c r="O639" s="8" t="s">
        <v>54</v>
      </c>
      <c r="P639" s="6" t="s">
        <v>65</v>
      </c>
      <c r="Q639" s="8" t="s">
        <v>66</v>
      </c>
      <c r="R639" s="10" t="s">
        <v>4251</v>
      </c>
      <c r="S639" s="11" t="s">
        <v>4252</v>
      </c>
      <c r="T639" s="6"/>
      <c r="U639" s="28" t="str">
        <f>HYPERLINK("https://media.infra-m.ru/0996/0996207/cover/996207.jpg", "Обложка")</f>
        <v>Обложка</v>
      </c>
      <c r="V639" s="28" t="str">
        <f>HYPERLINK("https://znanium.com/catalog/product/996207", "Ознакомиться")</f>
        <v>Ознакомиться</v>
      </c>
      <c r="W639" s="8" t="s">
        <v>4253</v>
      </c>
      <c r="X639" s="6"/>
      <c r="Y639" s="6"/>
      <c r="Z639" s="6"/>
      <c r="AA639" s="6" t="s">
        <v>78</v>
      </c>
    </row>
    <row r="640" spans="1:27" s="4" customFormat="1" ht="51.95" customHeight="1">
      <c r="A640" s="5">
        <v>0</v>
      </c>
      <c r="B640" s="6" t="s">
        <v>4254</v>
      </c>
      <c r="C640" s="7">
        <v>1540</v>
      </c>
      <c r="D640" s="8" t="s">
        <v>4255</v>
      </c>
      <c r="E640" s="8" t="s">
        <v>4256</v>
      </c>
      <c r="F640" s="8" t="s">
        <v>426</v>
      </c>
      <c r="G640" s="6" t="s">
        <v>37</v>
      </c>
      <c r="H640" s="6" t="s">
        <v>38</v>
      </c>
      <c r="I640" s="8" t="s">
        <v>62</v>
      </c>
      <c r="J640" s="9">
        <v>1</v>
      </c>
      <c r="K640" s="9">
        <v>416</v>
      </c>
      <c r="L640" s="9">
        <v>2021</v>
      </c>
      <c r="M640" s="8" t="s">
        <v>4257</v>
      </c>
      <c r="N640" s="8" t="s">
        <v>41</v>
      </c>
      <c r="O640" s="8" t="s">
        <v>181</v>
      </c>
      <c r="P640" s="6" t="s">
        <v>65</v>
      </c>
      <c r="Q640" s="8" t="s">
        <v>66</v>
      </c>
      <c r="R640" s="10" t="s">
        <v>4258</v>
      </c>
      <c r="S640" s="11" t="s">
        <v>4259</v>
      </c>
      <c r="T640" s="6"/>
      <c r="U640" s="28" t="str">
        <f>HYPERLINK("https://media.infra-m.ru/1408/1408257/cover/1408257.jpg", "Обложка")</f>
        <v>Обложка</v>
      </c>
      <c r="V640" s="28" t="str">
        <f>HYPERLINK("https://znanium.com/catalog/product/1408257", "Ознакомиться")</f>
        <v>Ознакомиться</v>
      </c>
      <c r="W640" s="8" t="s">
        <v>429</v>
      </c>
      <c r="X640" s="6"/>
      <c r="Y640" s="6"/>
      <c r="Z640" s="6"/>
      <c r="AA640" s="6" t="s">
        <v>57</v>
      </c>
    </row>
    <row r="641" spans="1:27" s="4" customFormat="1" ht="44.1" customHeight="1">
      <c r="A641" s="5">
        <v>0</v>
      </c>
      <c r="B641" s="6" t="s">
        <v>4260</v>
      </c>
      <c r="C641" s="13">
        <v>840</v>
      </c>
      <c r="D641" s="8" t="s">
        <v>4261</v>
      </c>
      <c r="E641" s="8" t="s">
        <v>4262</v>
      </c>
      <c r="F641" s="8" t="s">
        <v>4263</v>
      </c>
      <c r="G641" s="6" t="s">
        <v>52</v>
      </c>
      <c r="H641" s="6" t="s">
        <v>38</v>
      </c>
      <c r="I641" s="8" t="s">
        <v>39</v>
      </c>
      <c r="J641" s="9">
        <v>1</v>
      </c>
      <c r="K641" s="9">
        <v>247</v>
      </c>
      <c r="L641" s="9">
        <v>2020</v>
      </c>
      <c r="M641" s="8" t="s">
        <v>4264</v>
      </c>
      <c r="N641" s="8" t="s">
        <v>41</v>
      </c>
      <c r="O641" s="8" t="s">
        <v>97</v>
      </c>
      <c r="P641" s="6" t="s">
        <v>43</v>
      </c>
      <c r="Q641" s="8" t="s">
        <v>44</v>
      </c>
      <c r="R641" s="10" t="s">
        <v>4265</v>
      </c>
      <c r="S641" s="11"/>
      <c r="T641" s="6"/>
      <c r="U641" s="28" t="str">
        <f>HYPERLINK("https://media.infra-m.ru/1036/1036451/cover/1036451.jpg", "Обложка")</f>
        <v>Обложка</v>
      </c>
      <c r="V641" s="28" t="str">
        <f>HYPERLINK("https://znanium.com/catalog/product/1036451", "Ознакомиться")</f>
        <v>Ознакомиться</v>
      </c>
      <c r="W641" s="8" t="s">
        <v>4266</v>
      </c>
      <c r="X641" s="6"/>
      <c r="Y641" s="6"/>
      <c r="Z641" s="6"/>
      <c r="AA641" s="6" t="s">
        <v>161</v>
      </c>
    </row>
    <row r="642" spans="1:27" s="4" customFormat="1" ht="51.95" customHeight="1">
      <c r="A642" s="5">
        <v>0</v>
      </c>
      <c r="B642" s="6" t="s">
        <v>4267</v>
      </c>
      <c r="C642" s="7">
        <v>1630</v>
      </c>
      <c r="D642" s="8" t="s">
        <v>4268</v>
      </c>
      <c r="E642" s="8" t="s">
        <v>4269</v>
      </c>
      <c r="F642" s="8" t="s">
        <v>4270</v>
      </c>
      <c r="G642" s="6" t="s">
        <v>37</v>
      </c>
      <c r="H642" s="6" t="s">
        <v>38</v>
      </c>
      <c r="I642" s="8" t="s">
        <v>62</v>
      </c>
      <c r="J642" s="9">
        <v>1</v>
      </c>
      <c r="K642" s="9">
        <v>362</v>
      </c>
      <c r="L642" s="9">
        <v>2023</v>
      </c>
      <c r="M642" s="8" t="s">
        <v>4271</v>
      </c>
      <c r="N642" s="8" t="s">
        <v>41</v>
      </c>
      <c r="O642" s="8" t="s">
        <v>64</v>
      </c>
      <c r="P642" s="6" t="s">
        <v>65</v>
      </c>
      <c r="Q642" s="8" t="s">
        <v>66</v>
      </c>
      <c r="R642" s="10" t="s">
        <v>2958</v>
      </c>
      <c r="S642" s="11" t="s">
        <v>4272</v>
      </c>
      <c r="T642" s="6" t="s">
        <v>89</v>
      </c>
      <c r="U642" s="28" t="str">
        <f>HYPERLINK("https://media.infra-m.ru/1910/1910893/cover/1910893.jpg", "Обложка")</f>
        <v>Обложка</v>
      </c>
      <c r="V642" s="28" t="str">
        <f>HYPERLINK("https://znanium.com/catalog/product/1910893", "Ознакомиться")</f>
        <v>Ознакомиться</v>
      </c>
      <c r="W642" s="8" t="s">
        <v>4273</v>
      </c>
      <c r="X642" s="6"/>
      <c r="Y642" s="6"/>
      <c r="Z642" s="6"/>
      <c r="AA642" s="6" t="s">
        <v>144</v>
      </c>
    </row>
    <row r="643" spans="1:27" s="4" customFormat="1" ht="51.95" customHeight="1">
      <c r="A643" s="5">
        <v>0</v>
      </c>
      <c r="B643" s="6" t="s">
        <v>4274</v>
      </c>
      <c r="C643" s="13">
        <v>630</v>
      </c>
      <c r="D643" s="8" t="s">
        <v>4275</v>
      </c>
      <c r="E643" s="8" t="s">
        <v>4276</v>
      </c>
      <c r="F643" s="8" t="s">
        <v>4277</v>
      </c>
      <c r="G643" s="6" t="s">
        <v>121</v>
      </c>
      <c r="H643" s="6" t="s">
        <v>38</v>
      </c>
      <c r="I643" s="8" t="s">
        <v>39</v>
      </c>
      <c r="J643" s="9">
        <v>1</v>
      </c>
      <c r="K643" s="9">
        <v>201</v>
      </c>
      <c r="L643" s="9">
        <v>2017</v>
      </c>
      <c r="M643" s="8" t="s">
        <v>4278</v>
      </c>
      <c r="N643" s="8" t="s">
        <v>41</v>
      </c>
      <c r="O643" s="8" t="s">
        <v>64</v>
      </c>
      <c r="P643" s="6" t="s">
        <v>43</v>
      </c>
      <c r="Q643" s="8" t="s">
        <v>44</v>
      </c>
      <c r="R643" s="10" t="s">
        <v>4279</v>
      </c>
      <c r="S643" s="11"/>
      <c r="T643" s="6"/>
      <c r="U643" s="28" t="str">
        <f>HYPERLINK("https://media.infra-m.ru/0652/0652596/cover/652596.jpg", "Обложка")</f>
        <v>Обложка</v>
      </c>
      <c r="V643" s="28" t="str">
        <f>HYPERLINK("https://znanium.com/catalog/product/652596", "Ознакомиться")</f>
        <v>Ознакомиться</v>
      </c>
      <c r="W643" s="8" t="s">
        <v>4280</v>
      </c>
      <c r="X643" s="6"/>
      <c r="Y643" s="6"/>
      <c r="Z643" s="6"/>
      <c r="AA643" s="6" t="s">
        <v>320</v>
      </c>
    </row>
    <row r="644" spans="1:27" s="4" customFormat="1" ht="42" customHeight="1">
      <c r="A644" s="5">
        <v>0</v>
      </c>
      <c r="B644" s="6" t="s">
        <v>4281</v>
      </c>
      <c r="C644" s="7">
        <v>1430</v>
      </c>
      <c r="D644" s="8" t="s">
        <v>4282</v>
      </c>
      <c r="E644" s="8" t="s">
        <v>4283</v>
      </c>
      <c r="F644" s="8" t="s">
        <v>4284</v>
      </c>
      <c r="G644" s="6" t="s">
        <v>37</v>
      </c>
      <c r="H644" s="6" t="s">
        <v>38</v>
      </c>
      <c r="I644" s="8" t="s">
        <v>39</v>
      </c>
      <c r="J644" s="9">
        <v>1</v>
      </c>
      <c r="K644" s="9">
        <v>317</v>
      </c>
      <c r="L644" s="9">
        <v>2023</v>
      </c>
      <c r="M644" s="8" t="s">
        <v>4285</v>
      </c>
      <c r="N644" s="8" t="s">
        <v>41</v>
      </c>
      <c r="O644" s="8" t="s">
        <v>64</v>
      </c>
      <c r="P644" s="6" t="s">
        <v>43</v>
      </c>
      <c r="Q644" s="8" t="s">
        <v>44</v>
      </c>
      <c r="R644" s="10" t="s">
        <v>4286</v>
      </c>
      <c r="S644" s="11"/>
      <c r="T644" s="6"/>
      <c r="U644" s="28" t="str">
        <f>HYPERLINK("https://media.infra-m.ru/2020/2020566/cover/2020566.jpg", "Обложка")</f>
        <v>Обложка</v>
      </c>
      <c r="V644" s="28" t="str">
        <f>HYPERLINK("https://znanium.com/catalog/product/2020566", "Ознакомиться")</f>
        <v>Ознакомиться</v>
      </c>
      <c r="W644" s="8" t="s">
        <v>2911</v>
      </c>
      <c r="X644" s="6"/>
      <c r="Y644" s="6"/>
      <c r="Z644" s="6"/>
      <c r="AA644" s="6" t="s">
        <v>70</v>
      </c>
    </row>
    <row r="645" spans="1:27" s="4" customFormat="1" ht="51.95" customHeight="1">
      <c r="A645" s="5">
        <v>0</v>
      </c>
      <c r="B645" s="6" t="s">
        <v>4287</v>
      </c>
      <c r="C645" s="13">
        <v>714.9</v>
      </c>
      <c r="D645" s="8" t="s">
        <v>4288</v>
      </c>
      <c r="E645" s="8" t="s">
        <v>4289</v>
      </c>
      <c r="F645" s="8" t="s">
        <v>4290</v>
      </c>
      <c r="G645" s="6" t="s">
        <v>52</v>
      </c>
      <c r="H645" s="6" t="s">
        <v>38</v>
      </c>
      <c r="I645" s="8" t="s">
        <v>62</v>
      </c>
      <c r="J645" s="9">
        <v>1</v>
      </c>
      <c r="K645" s="9">
        <v>158</v>
      </c>
      <c r="L645" s="9">
        <v>2023</v>
      </c>
      <c r="M645" s="8" t="s">
        <v>4291</v>
      </c>
      <c r="N645" s="8" t="s">
        <v>41</v>
      </c>
      <c r="O645" s="8" t="s">
        <v>64</v>
      </c>
      <c r="P645" s="6" t="s">
        <v>65</v>
      </c>
      <c r="Q645" s="8" t="s">
        <v>66</v>
      </c>
      <c r="R645" s="10" t="s">
        <v>2958</v>
      </c>
      <c r="S645" s="11" t="s">
        <v>4292</v>
      </c>
      <c r="T645" s="6"/>
      <c r="U645" s="28" t="str">
        <f>HYPERLINK("https://media.infra-m.ru/1893/1893978/cover/1893978.jpg", "Обложка")</f>
        <v>Обложка</v>
      </c>
      <c r="V645" s="28" t="str">
        <f>HYPERLINK("https://znanium.com/catalog/product/926504", "Ознакомиться")</f>
        <v>Ознакомиться</v>
      </c>
      <c r="W645" s="8" t="s">
        <v>1963</v>
      </c>
      <c r="X645" s="6"/>
      <c r="Y645" s="6"/>
      <c r="Z645" s="6"/>
      <c r="AA645" s="6" t="s">
        <v>70</v>
      </c>
    </row>
    <row r="646" spans="1:27" s="4" customFormat="1" ht="51.95" customHeight="1">
      <c r="A646" s="5">
        <v>0</v>
      </c>
      <c r="B646" s="6" t="s">
        <v>4293</v>
      </c>
      <c r="C646" s="7">
        <v>1060</v>
      </c>
      <c r="D646" s="8" t="s">
        <v>4294</v>
      </c>
      <c r="E646" s="8" t="s">
        <v>4295</v>
      </c>
      <c r="F646" s="8" t="s">
        <v>4296</v>
      </c>
      <c r="G646" s="6" t="s">
        <v>37</v>
      </c>
      <c r="H646" s="6" t="s">
        <v>38</v>
      </c>
      <c r="I646" s="8" t="s">
        <v>62</v>
      </c>
      <c r="J646" s="9">
        <v>1</v>
      </c>
      <c r="K646" s="9">
        <v>235</v>
      </c>
      <c r="L646" s="9">
        <v>2021</v>
      </c>
      <c r="M646" s="8" t="s">
        <v>4297</v>
      </c>
      <c r="N646" s="8" t="s">
        <v>41</v>
      </c>
      <c r="O646" s="8" t="s">
        <v>64</v>
      </c>
      <c r="P646" s="6" t="s">
        <v>85</v>
      </c>
      <c r="Q646" s="8" t="s">
        <v>66</v>
      </c>
      <c r="R646" s="10" t="s">
        <v>1599</v>
      </c>
      <c r="S646" s="11" t="s">
        <v>4298</v>
      </c>
      <c r="T646" s="6"/>
      <c r="U646" s="28" t="str">
        <f>HYPERLINK("https://media.infra-m.ru/1850/1850119/cover/1850119.jpg", "Обложка")</f>
        <v>Обложка</v>
      </c>
      <c r="V646" s="28" t="str">
        <f>HYPERLINK("https://znanium.com/catalog/product/971374", "Ознакомиться")</f>
        <v>Ознакомиться</v>
      </c>
      <c r="W646" s="8" t="s">
        <v>814</v>
      </c>
      <c r="X646" s="6"/>
      <c r="Y646" s="6"/>
      <c r="Z646" s="6"/>
      <c r="AA646" s="6" t="s">
        <v>135</v>
      </c>
    </row>
    <row r="647" spans="1:27" s="4" customFormat="1" ht="51.95" customHeight="1">
      <c r="A647" s="5">
        <v>0</v>
      </c>
      <c r="B647" s="6" t="s">
        <v>4299</v>
      </c>
      <c r="C647" s="7">
        <v>1104</v>
      </c>
      <c r="D647" s="8" t="s">
        <v>4300</v>
      </c>
      <c r="E647" s="8" t="s">
        <v>4301</v>
      </c>
      <c r="F647" s="8" t="s">
        <v>4302</v>
      </c>
      <c r="G647" s="6" t="s">
        <v>121</v>
      </c>
      <c r="H647" s="6" t="s">
        <v>38</v>
      </c>
      <c r="I647" s="8" t="s">
        <v>62</v>
      </c>
      <c r="J647" s="9">
        <v>1</v>
      </c>
      <c r="K647" s="9">
        <v>240</v>
      </c>
      <c r="L647" s="9">
        <v>2024</v>
      </c>
      <c r="M647" s="8" t="s">
        <v>4303</v>
      </c>
      <c r="N647" s="8" t="s">
        <v>41</v>
      </c>
      <c r="O647" s="8" t="s">
        <v>64</v>
      </c>
      <c r="P647" s="6" t="s">
        <v>65</v>
      </c>
      <c r="Q647" s="8" t="s">
        <v>66</v>
      </c>
      <c r="R647" s="10" t="s">
        <v>4304</v>
      </c>
      <c r="S647" s="11" t="s">
        <v>4305</v>
      </c>
      <c r="T647" s="6" t="s">
        <v>89</v>
      </c>
      <c r="U647" s="28" t="str">
        <f>HYPERLINK("https://media.infra-m.ru/2096/2096328/cover/2096328.jpg", "Обложка")</f>
        <v>Обложка</v>
      </c>
      <c r="V647" s="28" t="str">
        <f>HYPERLINK("https://znanium.com/catalog/product/938008", "Ознакомиться")</f>
        <v>Ознакомиться</v>
      </c>
      <c r="W647" s="8" t="s">
        <v>4058</v>
      </c>
      <c r="X647" s="6"/>
      <c r="Y647" s="6"/>
      <c r="Z647" s="6"/>
      <c r="AA647" s="6" t="s">
        <v>70</v>
      </c>
    </row>
    <row r="648" spans="1:27" s="4" customFormat="1" ht="51.95" customHeight="1">
      <c r="A648" s="5">
        <v>0</v>
      </c>
      <c r="B648" s="6" t="s">
        <v>4306</v>
      </c>
      <c r="C648" s="7">
        <v>1140</v>
      </c>
      <c r="D648" s="8" t="s">
        <v>4307</v>
      </c>
      <c r="E648" s="8" t="s">
        <v>4308</v>
      </c>
      <c r="F648" s="8" t="s">
        <v>4309</v>
      </c>
      <c r="G648" s="6" t="s">
        <v>37</v>
      </c>
      <c r="H648" s="6" t="s">
        <v>38</v>
      </c>
      <c r="I648" s="8" t="s">
        <v>62</v>
      </c>
      <c r="J648" s="9">
        <v>1</v>
      </c>
      <c r="K648" s="9">
        <v>252</v>
      </c>
      <c r="L648" s="9">
        <v>2023</v>
      </c>
      <c r="M648" s="8" t="s">
        <v>4310</v>
      </c>
      <c r="N648" s="8" t="s">
        <v>41</v>
      </c>
      <c r="O648" s="8" t="s">
        <v>64</v>
      </c>
      <c r="P648" s="6" t="s">
        <v>65</v>
      </c>
      <c r="Q648" s="8" t="s">
        <v>66</v>
      </c>
      <c r="R648" s="10" t="s">
        <v>428</v>
      </c>
      <c r="S648" s="11" t="s">
        <v>4311</v>
      </c>
      <c r="T648" s="6" t="s">
        <v>89</v>
      </c>
      <c r="U648" s="28" t="str">
        <f>HYPERLINK("https://media.infra-m.ru/1939/1939105/cover/1939105.jpg", "Обложка")</f>
        <v>Обложка</v>
      </c>
      <c r="V648" s="28" t="str">
        <f>HYPERLINK("https://znanium.com/catalog/product/1939105", "Ознакомиться")</f>
        <v>Ознакомиться</v>
      </c>
      <c r="W648" s="8" t="s">
        <v>4312</v>
      </c>
      <c r="X648" s="6"/>
      <c r="Y648" s="6"/>
      <c r="Z648" s="6"/>
      <c r="AA648" s="6" t="s">
        <v>57</v>
      </c>
    </row>
    <row r="649" spans="1:27" s="4" customFormat="1" ht="51.95" customHeight="1">
      <c r="A649" s="5">
        <v>0</v>
      </c>
      <c r="B649" s="6" t="s">
        <v>4313</v>
      </c>
      <c r="C649" s="7">
        <v>1444.9</v>
      </c>
      <c r="D649" s="8" t="s">
        <v>4314</v>
      </c>
      <c r="E649" s="8" t="s">
        <v>4315</v>
      </c>
      <c r="F649" s="8" t="s">
        <v>4316</v>
      </c>
      <c r="G649" s="6" t="s">
        <v>121</v>
      </c>
      <c r="H649" s="6" t="s">
        <v>38</v>
      </c>
      <c r="I649" s="8" t="s">
        <v>62</v>
      </c>
      <c r="J649" s="9">
        <v>1</v>
      </c>
      <c r="K649" s="9">
        <v>320</v>
      </c>
      <c r="L649" s="9">
        <v>2023</v>
      </c>
      <c r="M649" s="8" t="s">
        <v>4317</v>
      </c>
      <c r="N649" s="8" t="s">
        <v>41</v>
      </c>
      <c r="O649" s="8" t="s">
        <v>64</v>
      </c>
      <c r="P649" s="6" t="s">
        <v>85</v>
      </c>
      <c r="Q649" s="8" t="s">
        <v>66</v>
      </c>
      <c r="R649" s="10" t="s">
        <v>4318</v>
      </c>
      <c r="S649" s="11" t="s">
        <v>4319</v>
      </c>
      <c r="T649" s="6"/>
      <c r="U649" s="28" t="str">
        <f>HYPERLINK("https://media.infra-m.ru/1965/1965761/cover/1965761.jpg", "Обложка")</f>
        <v>Обложка</v>
      </c>
      <c r="V649" s="28" t="str">
        <f>HYPERLINK("https://znanium.com/catalog/product/1019063", "Ознакомиться")</f>
        <v>Ознакомиться</v>
      </c>
      <c r="W649" s="8" t="s">
        <v>134</v>
      </c>
      <c r="X649" s="6"/>
      <c r="Y649" s="6"/>
      <c r="Z649" s="6"/>
      <c r="AA649" s="6" t="s">
        <v>135</v>
      </c>
    </row>
    <row r="650" spans="1:27" s="4" customFormat="1" ht="51.95" customHeight="1">
      <c r="A650" s="5">
        <v>0</v>
      </c>
      <c r="B650" s="6" t="s">
        <v>4320</v>
      </c>
      <c r="C650" s="13">
        <v>760</v>
      </c>
      <c r="D650" s="8" t="s">
        <v>4321</v>
      </c>
      <c r="E650" s="8" t="s">
        <v>4322</v>
      </c>
      <c r="F650" s="8" t="s">
        <v>4323</v>
      </c>
      <c r="G650" s="6" t="s">
        <v>52</v>
      </c>
      <c r="H650" s="6" t="s">
        <v>207</v>
      </c>
      <c r="I650" s="8" t="s">
        <v>187</v>
      </c>
      <c r="J650" s="9">
        <v>1</v>
      </c>
      <c r="K650" s="9">
        <v>160</v>
      </c>
      <c r="L650" s="9">
        <v>2024</v>
      </c>
      <c r="M650" s="8" t="s">
        <v>4324</v>
      </c>
      <c r="N650" s="8" t="s">
        <v>41</v>
      </c>
      <c r="O650" s="8" t="s">
        <v>64</v>
      </c>
      <c r="P650" s="6" t="s">
        <v>65</v>
      </c>
      <c r="Q650" s="8" t="s">
        <v>189</v>
      </c>
      <c r="R650" s="10" t="s">
        <v>4325</v>
      </c>
      <c r="S650" s="11" t="s">
        <v>1072</v>
      </c>
      <c r="T650" s="6"/>
      <c r="U650" s="28" t="str">
        <f>HYPERLINK("https://media.infra-m.ru/2104/2104837/cover/2104837.jpg", "Обложка")</f>
        <v>Обложка</v>
      </c>
      <c r="V650" s="28" t="str">
        <f>HYPERLINK("https://znanium.com/catalog/product/2104837", "Ознакомиться")</f>
        <v>Ознакомиться</v>
      </c>
      <c r="W650" s="8" t="s">
        <v>1001</v>
      </c>
      <c r="X650" s="6"/>
      <c r="Y650" s="6" t="s">
        <v>30</v>
      </c>
      <c r="Z650" s="6"/>
      <c r="AA650" s="6" t="s">
        <v>278</v>
      </c>
    </row>
    <row r="651" spans="1:27" s="4" customFormat="1" ht="51.95" customHeight="1">
      <c r="A651" s="5">
        <v>0</v>
      </c>
      <c r="B651" s="6" t="s">
        <v>4326</v>
      </c>
      <c r="C651" s="7">
        <v>1180</v>
      </c>
      <c r="D651" s="8" t="s">
        <v>4327</v>
      </c>
      <c r="E651" s="8" t="s">
        <v>4322</v>
      </c>
      <c r="F651" s="8" t="s">
        <v>4328</v>
      </c>
      <c r="G651" s="6" t="s">
        <v>37</v>
      </c>
      <c r="H651" s="6" t="s">
        <v>38</v>
      </c>
      <c r="I651" s="8" t="s">
        <v>187</v>
      </c>
      <c r="J651" s="9">
        <v>1</v>
      </c>
      <c r="K651" s="9">
        <v>256</v>
      </c>
      <c r="L651" s="9">
        <v>2024</v>
      </c>
      <c r="M651" s="8" t="s">
        <v>4329</v>
      </c>
      <c r="N651" s="8" t="s">
        <v>41</v>
      </c>
      <c r="O651" s="8" t="s">
        <v>64</v>
      </c>
      <c r="P651" s="6" t="s">
        <v>85</v>
      </c>
      <c r="Q651" s="8" t="s">
        <v>189</v>
      </c>
      <c r="R651" s="10" t="s">
        <v>4330</v>
      </c>
      <c r="S651" s="11" t="s">
        <v>3993</v>
      </c>
      <c r="T651" s="6"/>
      <c r="U651" s="28" t="str">
        <f>HYPERLINK("https://media.infra-m.ru/2084/2084084/cover/2084084.jpg", "Обложка")</f>
        <v>Обложка</v>
      </c>
      <c r="V651" s="28" t="str">
        <f>HYPERLINK("https://znanium.com/catalog/product/2084084", "Ознакомиться")</f>
        <v>Ознакомиться</v>
      </c>
      <c r="W651" s="8" t="s">
        <v>2547</v>
      </c>
      <c r="X651" s="6"/>
      <c r="Y651" s="6" t="s">
        <v>30</v>
      </c>
      <c r="Z651" s="6"/>
      <c r="AA651" s="6" t="s">
        <v>4331</v>
      </c>
    </row>
    <row r="652" spans="1:27" s="4" customFormat="1" ht="51.95" customHeight="1">
      <c r="A652" s="5">
        <v>0</v>
      </c>
      <c r="B652" s="6" t="s">
        <v>4332</v>
      </c>
      <c r="C652" s="13">
        <v>780</v>
      </c>
      <c r="D652" s="8" t="s">
        <v>4333</v>
      </c>
      <c r="E652" s="8" t="s">
        <v>4334</v>
      </c>
      <c r="F652" s="8" t="s">
        <v>4335</v>
      </c>
      <c r="G652" s="6" t="s">
        <v>121</v>
      </c>
      <c r="H652" s="6" t="s">
        <v>38</v>
      </c>
      <c r="I652" s="8" t="s">
        <v>2638</v>
      </c>
      <c r="J652" s="9">
        <v>1</v>
      </c>
      <c r="K652" s="9">
        <v>153</v>
      </c>
      <c r="L652" s="9">
        <v>2024</v>
      </c>
      <c r="M652" s="8" t="s">
        <v>4336</v>
      </c>
      <c r="N652" s="8" t="s">
        <v>41</v>
      </c>
      <c r="O652" s="8" t="s">
        <v>64</v>
      </c>
      <c r="P652" s="6" t="s">
        <v>65</v>
      </c>
      <c r="Q652" s="8" t="s">
        <v>189</v>
      </c>
      <c r="R652" s="10" t="s">
        <v>4337</v>
      </c>
      <c r="S652" s="11" t="s">
        <v>4338</v>
      </c>
      <c r="T652" s="6"/>
      <c r="U652" s="28" t="str">
        <f>HYPERLINK("https://media.infra-m.ru/2082/2082734/cover/2082734.jpg", "Обложка")</f>
        <v>Обложка</v>
      </c>
      <c r="V652" s="28" t="str">
        <f>HYPERLINK("https://znanium.com/catalog/product/2082734", "Ознакомиться")</f>
        <v>Ознакомиться</v>
      </c>
      <c r="W652" s="8" t="s">
        <v>2426</v>
      </c>
      <c r="X652" s="6" t="s">
        <v>1002</v>
      </c>
      <c r="Y652" s="6"/>
      <c r="Z652" s="6"/>
      <c r="AA652" s="6" t="s">
        <v>2126</v>
      </c>
    </row>
    <row r="653" spans="1:27" s="4" customFormat="1" ht="51.95" customHeight="1">
      <c r="A653" s="5">
        <v>0</v>
      </c>
      <c r="B653" s="6" t="s">
        <v>4339</v>
      </c>
      <c r="C653" s="13">
        <v>334</v>
      </c>
      <c r="D653" s="8" t="s">
        <v>4340</v>
      </c>
      <c r="E653" s="8" t="s">
        <v>4341</v>
      </c>
      <c r="F653" s="8" t="s">
        <v>2934</v>
      </c>
      <c r="G653" s="6" t="s">
        <v>52</v>
      </c>
      <c r="H653" s="6" t="s">
        <v>38</v>
      </c>
      <c r="I653" s="8" t="s">
        <v>62</v>
      </c>
      <c r="J653" s="9">
        <v>1</v>
      </c>
      <c r="K653" s="9">
        <v>73</v>
      </c>
      <c r="L653" s="9">
        <v>2023</v>
      </c>
      <c r="M653" s="8" t="s">
        <v>4342</v>
      </c>
      <c r="N653" s="8" t="s">
        <v>41</v>
      </c>
      <c r="O653" s="8" t="s">
        <v>181</v>
      </c>
      <c r="P653" s="6" t="s">
        <v>65</v>
      </c>
      <c r="Q653" s="8" t="s">
        <v>66</v>
      </c>
      <c r="R653" s="10" t="s">
        <v>76</v>
      </c>
      <c r="S653" s="11" t="s">
        <v>3252</v>
      </c>
      <c r="T653" s="6"/>
      <c r="U653" s="28" t="str">
        <f>HYPERLINK("https://media.infra-m.ru/2002/2002593/cover/2002593.jpg", "Обложка")</f>
        <v>Обложка</v>
      </c>
      <c r="V653" s="28" t="str">
        <f>HYPERLINK("https://znanium.com/catalog/product/1026247", "Ознакомиться")</f>
        <v>Ознакомиться</v>
      </c>
      <c r="W653" s="8" t="s">
        <v>2938</v>
      </c>
      <c r="X653" s="6"/>
      <c r="Y653" s="6"/>
      <c r="Z653" s="6"/>
      <c r="AA653" s="6" t="s">
        <v>320</v>
      </c>
    </row>
    <row r="654" spans="1:27" s="4" customFormat="1" ht="51.95" customHeight="1">
      <c r="A654" s="5">
        <v>0</v>
      </c>
      <c r="B654" s="6" t="s">
        <v>4343</v>
      </c>
      <c r="C654" s="13">
        <v>920</v>
      </c>
      <c r="D654" s="8" t="s">
        <v>4344</v>
      </c>
      <c r="E654" s="8" t="s">
        <v>4345</v>
      </c>
      <c r="F654" s="8" t="s">
        <v>2889</v>
      </c>
      <c r="G654" s="6" t="s">
        <v>37</v>
      </c>
      <c r="H654" s="6" t="s">
        <v>38</v>
      </c>
      <c r="I654" s="8" t="s">
        <v>62</v>
      </c>
      <c r="J654" s="9">
        <v>1</v>
      </c>
      <c r="K654" s="9">
        <v>202</v>
      </c>
      <c r="L654" s="9">
        <v>2023</v>
      </c>
      <c r="M654" s="8" t="s">
        <v>4346</v>
      </c>
      <c r="N654" s="8" t="s">
        <v>41</v>
      </c>
      <c r="O654" s="8" t="s">
        <v>64</v>
      </c>
      <c r="P654" s="6" t="s">
        <v>65</v>
      </c>
      <c r="Q654" s="8" t="s">
        <v>66</v>
      </c>
      <c r="R654" s="10" t="s">
        <v>4347</v>
      </c>
      <c r="S654" s="11" t="s">
        <v>4348</v>
      </c>
      <c r="T654" s="6"/>
      <c r="U654" s="28" t="str">
        <f>HYPERLINK("https://media.infra-m.ru/1939/1939106/cover/1939106.jpg", "Обложка")</f>
        <v>Обложка</v>
      </c>
      <c r="V654" s="28" t="str">
        <f>HYPERLINK("https://znanium.com/catalog/product/1939106", "Ознакомиться")</f>
        <v>Ознакомиться</v>
      </c>
      <c r="W654" s="8" t="s">
        <v>1415</v>
      </c>
      <c r="X654" s="6"/>
      <c r="Y654" s="6"/>
      <c r="Z654" s="6"/>
      <c r="AA654" s="6" t="s">
        <v>225</v>
      </c>
    </row>
    <row r="655" spans="1:27" s="4" customFormat="1" ht="51.95" customHeight="1">
      <c r="A655" s="5">
        <v>0</v>
      </c>
      <c r="B655" s="6" t="s">
        <v>4349</v>
      </c>
      <c r="C655" s="13">
        <v>410</v>
      </c>
      <c r="D655" s="8" t="s">
        <v>4350</v>
      </c>
      <c r="E655" s="8" t="s">
        <v>4351</v>
      </c>
      <c r="F655" s="8" t="s">
        <v>4352</v>
      </c>
      <c r="G655" s="6" t="s">
        <v>52</v>
      </c>
      <c r="H655" s="6" t="s">
        <v>207</v>
      </c>
      <c r="I655" s="8" t="s">
        <v>130</v>
      </c>
      <c r="J655" s="9">
        <v>1</v>
      </c>
      <c r="K655" s="9">
        <v>152</v>
      </c>
      <c r="L655" s="9">
        <v>2017</v>
      </c>
      <c r="M655" s="8" t="s">
        <v>4353</v>
      </c>
      <c r="N655" s="8" t="s">
        <v>41</v>
      </c>
      <c r="O655" s="8" t="s">
        <v>64</v>
      </c>
      <c r="P655" s="6" t="s">
        <v>65</v>
      </c>
      <c r="Q655" s="8" t="s">
        <v>66</v>
      </c>
      <c r="R655" s="10" t="s">
        <v>4347</v>
      </c>
      <c r="S655" s="11" t="s">
        <v>4348</v>
      </c>
      <c r="T655" s="6"/>
      <c r="U655" s="28" t="str">
        <f>HYPERLINK("https://media.infra-m.ru/0872/0872294/cover/872294.jpg", "Обложка")</f>
        <v>Обложка</v>
      </c>
      <c r="V655" s="28" t="str">
        <f>HYPERLINK("https://znanium.com/catalog/product/1939106", "Ознакомиться")</f>
        <v>Ознакомиться</v>
      </c>
      <c r="W655" s="8" t="s">
        <v>1415</v>
      </c>
      <c r="X655" s="6"/>
      <c r="Y655" s="6"/>
      <c r="Z655" s="6"/>
      <c r="AA655" s="6" t="s">
        <v>47</v>
      </c>
    </row>
    <row r="656" spans="1:27" s="4" customFormat="1" ht="51.95" customHeight="1">
      <c r="A656" s="5">
        <v>0</v>
      </c>
      <c r="B656" s="6" t="s">
        <v>4354</v>
      </c>
      <c r="C656" s="7">
        <v>1370</v>
      </c>
      <c r="D656" s="8" t="s">
        <v>4355</v>
      </c>
      <c r="E656" s="8" t="s">
        <v>4356</v>
      </c>
      <c r="F656" s="8" t="s">
        <v>4357</v>
      </c>
      <c r="G656" s="6" t="s">
        <v>37</v>
      </c>
      <c r="H656" s="6" t="s">
        <v>38</v>
      </c>
      <c r="I656" s="8" t="s">
        <v>62</v>
      </c>
      <c r="J656" s="9">
        <v>1</v>
      </c>
      <c r="K656" s="9">
        <v>304</v>
      </c>
      <c r="L656" s="9">
        <v>2023</v>
      </c>
      <c r="M656" s="8" t="s">
        <v>4358</v>
      </c>
      <c r="N656" s="8" t="s">
        <v>41</v>
      </c>
      <c r="O656" s="8" t="s">
        <v>64</v>
      </c>
      <c r="P656" s="6" t="s">
        <v>65</v>
      </c>
      <c r="Q656" s="8" t="s">
        <v>66</v>
      </c>
      <c r="R656" s="10" t="s">
        <v>4359</v>
      </c>
      <c r="S656" s="11" t="s">
        <v>4360</v>
      </c>
      <c r="T656" s="6"/>
      <c r="U656" s="28" t="str">
        <f>HYPERLINK("https://media.infra-m.ru/1926/1926304/cover/1926304.jpg", "Обложка")</f>
        <v>Обложка</v>
      </c>
      <c r="V656" s="28" t="str">
        <f>HYPERLINK("https://znanium.com/catalog/product/1926304", "Ознакомиться")</f>
        <v>Ознакомиться</v>
      </c>
      <c r="W656" s="8" t="s">
        <v>666</v>
      </c>
      <c r="X656" s="6"/>
      <c r="Y656" s="6"/>
      <c r="Z656" s="6"/>
      <c r="AA656" s="6" t="s">
        <v>161</v>
      </c>
    </row>
    <row r="657" spans="1:27" s="4" customFormat="1" ht="51.95" customHeight="1">
      <c r="A657" s="5">
        <v>0</v>
      </c>
      <c r="B657" s="6" t="s">
        <v>4361</v>
      </c>
      <c r="C657" s="13">
        <v>514</v>
      </c>
      <c r="D657" s="8" t="s">
        <v>4362</v>
      </c>
      <c r="E657" s="8" t="s">
        <v>4363</v>
      </c>
      <c r="F657" s="8" t="s">
        <v>4364</v>
      </c>
      <c r="G657" s="6" t="s">
        <v>52</v>
      </c>
      <c r="H657" s="6" t="s">
        <v>38</v>
      </c>
      <c r="I657" s="8" t="s">
        <v>62</v>
      </c>
      <c r="J657" s="9">
        <v>1</v>
      </c>
      <c r="K657" s="9">
        <v>106</v>
      </c>
      <c r="L657" s="9">
        <v>2023</v>
      </c>
      <c r="M657" s="8" t="s">
        <v>4365</v>
      </c>
      <c r="N657" s="8" t="s">
        <v>41</v>
      </c>
      <c r="O657" s="8" t="s">
        <v>64</v>
      </c>
      <c r="P657" s="6" t="s">
        <v>65</v>
      </c>
      <c r="Q657" s="8" t="s">
        <v>66</v>
      </c>
      <c r="R657" s="10" t="s">
        <v>4366</v>
      </c>
      <c r="S657" s="11" t="s">
        <v>4367</v>
      </c>
      <c r="T657" s="6"/>
      <c r="U657" s="28" t="str">
        <f>HYPERLINK("https://media.infra-m.ru/2006/2006090/cover/2006090.jpg", "Обложка")</f>
        <v>Обложка</v>
      </c>
      <c r="V657" s="12"/>
      <c r="W657" s="8" t="s">
        <v>1415</v>
      </c>
      <c r="X657" s="6"/>
      <c r="Y657" s="6"/>
      <c r="Z657" s="6"/>
      <c r="AA657" s="6" t="s">
        <v>320</v>
      </c>
    </row>
    <row r="658" spans="1:27" s="4" customFormat="1" ht="51.95" customHeight="1">
      <c r="A658" s="5">
        <v>0</v>
      </c>
      <c r="B658" s="6" t="s">
        <v>4368</v>
      </c>
      <c r="C658" s="7">
        <v>1690</v>
      </c>
      <c r="D658" s="8" t="s">
        <v>4369</v>
      </c>
      <c r="E658" s="8" t="s">
        <v>4370</v>
      </c>
      <c r="F658" s="8" t="s">
        <v>4371</v>
      </c>
      <c r="G658" s="6" t="s">
        <v>37</v>
      </c>
      <c r="H658" s="6" t="s">
        <v>38</v>
      </c>
      <c r="I658" s="8" t="s">
        <v>62</v>
      </c>
      <c r="J658" s="9">
        <v>1</v>
      </c>
      <c r="K658" s="9">
        <v>372</v>
      </c>
      <c r="L658" s="9">
        <v>2023</v>
      </c>
      <c r="M658" s="8" t="s">
        <v>4372</v>
      </c>
      <c r="N658" s="8" t="s">
        <v>41</v>
      </c>
      <c r="O658" s="8" t="s">
        <v>64</v>
      </c>
      <c r="P658" s="6" t="s">
        <v>85</v>
      </c>
      <c r="Q658" s="8" t="s">
        <v>66</v>
      </c>
      <c r="R658" s="10" t="s">
        <v>4373</v>
      </c>
      <c r="S658" s="11" t="s">
        <v>133</v>
      </c>
      <c r="T658" s="6"/>
      <c r="U658" s="28" t="str">
        <f>HYPERLINK("https://media.infra-m.ru/1965/1965760/cover/1965760.jpg", "Обложка")</f>
        <v>Обложка</v>
      </c>
      <c r="V658" s="28" t="str">
        <f>HYPERLINK("https://znanium.com/catalog/product/1965760", "Ознакомиться")</f>
        <v>Ознакомиться</v>
      </c>
      <c r="W658" s="8" t="s">
        <v>134</v>
      </c>
      <c r="X658" s="6"/>
      <c r="Y658" s="6"/>
      <c r="Z658" s="6"/>
      <c r="AA658" s="6" t="s">
        <v>135</v>
      </c>
    </row>
    <row r="659" spans="1:27" s="4" customFormat="1" ht="51.95" customHeight="1">
      <c r="A659" s="5">
        <v>0</v>
      </c>
      <c r="B659" s="6" t="s">
        <v>4374</v>
      </c>
      <c r="C659" s="13">
        <v>680</v>
      </c>
      <c r="D659" s="8" t="s">
        <v>4375</v>
      </c>
      <c r="E659" s="8" t="s">
        <v>4370</v>
      </c>
      <c r="F659" s="8" t="s">
        <v>4376</v>
      </c>
      <c r="G659" s="6" t="s">
        <v>37</v>
      </c>
      <c r="H659" s="6" t="s">
        <v>38</v>
      </c>
      <c r="I659" s="8" t="s">
        <v>62</v>
      </c>
      <c r="J659" s="9">
        <v>1</v>
      </c>
      <c r="K659" s="9">
        <v>151</v>
      </c>
      <c r="L659" s="9">
        <v>2023</v>
      </c>
      <c r="M659" s="8" t="s">
        <v>4377</v>
      </c>
      <c r="N659" s="8" t="s">
        <v>41</v>
      </c>
      <c r="O659" s="8" t="s">
        <v>64</v>
      </c>
      <c r="P659" s="6" t="s">
        <v>65</v>
      </c>
      <c r="Q659" s="8" t="s">
        <v>66</v>
      </c>
      <c r="R659" s="10" t="s">
        <v>76</v>
      </c>
      <c r="S659" s="11" t="s">
        <v>4378</v>
      </c>
      <c r="T659" s="6"/>
      <c r="U659" s="28" t="str">
        <f>HYPERLINK("https://media.infra-m.ru/1893/1893860/cover/1893860.jpg", "Обложка")</f>
        <v>Обложка</v>
      </c>
      <c r="V659" s="28" t="str">
        <f>HYPERLINK("https://znanium.com/catalog/product/1893860", "Ознакомиться")</f>
        <v>Ознакомиться</v>
      </c>
      <c r="W659" s="8" t="s">
        <v>232</v>
      </c>
      <c r="X659" s="6"/>
      <c r="Y659" s="6"/>
      <c r="Z659" s="6"/>
      <c r="AA659" s="6" t="s">
        <v>108</v>
      </c>
    </row>
    <row r="660" spans="1:27" s="4" customFormat="1" ht="51.95" customHeight="1">
      <c r="A660" s="5">
        <v>0</v>
      </c>
      <c r="B660" s="6" t="s">
        <v>4379</v>
      </c>
      <c r="C660" s="13">
        <v>604.9</v>
      </c>
      <c r="D660" s="8" t="s">
        <v>4380</v>
      </c>
      <c r="E660" s="8" t="s">
        <v>4381</v>
      </c>
      <c r="F660" s="8" t="s">
        <v>4382</v>
      </c>
      <c r="G660" s="6" t="s">
        <v>121</v>
      </c>
      <c r="H660" s="6" t="s">
        <v>38</v>
      </c>
      <c r="I660" s="8" t="s">
        <v>62</v>
      </c>
      <c r="J660" s="9">
        <v>1</v>
      </c>
      <c r="K660" s="9">
        <v>178</v>
      </c>
      <c r="L660" s="9">
        <v>2020</v>
      </c>
      <c r="M660" s="8" t="s">
        <v>4383</v>
      </c>
      <c r="N660" s="8" t="s">
        <v>41</v>
      </c>
      <c r="O660" s="8" t="s">
        <v>64</v>
      </c>
      <c r="P660" s="6" t="s">
        <v>65</v>
      </c>
      <c r="Q660" s="8" t="s">
        <v>66</v>
      </c>
      <c r="R660" s="10" t="s">
        <v>4384</v>
      </c>
      <c r="S660" s="11" t="s">
        <v>4385</v>
      </c>
      <c r="T660" s="6"/>
      <c r="U660" s="28" t="str">
        <f>HYPERLINK("https://media.infra-m.ru/1045/1045789/cover/1045789.jpg", "Обложка")</f>
        <v>Обложка</v>
      </c>
      <c r="V660" s="28" t="str">
        <f>HYPERLINK("https://znanium.com/catalog/product/1093106", "Ознакомиться")</f>
        <v>Ознакомиться</v>
      </c>
      <c r="W660" s="8" t="s">
        <v>339</v>
      </c>
      <c r="X660" s="6"/>
      <c r="Y660" s="6"/>
      <c r="Z660" s="6"/>
      <c r="AA660" s="6" t="s">
        <v>91</v>
      </c>
    </row>
    <row r="661" spans="1:27" s="4" customFormat="1" ht="51.95" customHeight="1">
      <c r="A661" s="5">
        <v>0</v>
      </c>
      <c r="B661" s="6" t="s">
        <v>4386</v>
      </c>
      <c r="C661" s="13">
        <v>870</v>
      </c>
      <c r="D661" s="8" t="s">
        <v>4387</v>
      </c>
      <c r="E661" s="8" t="s">
        <v>4388</v>
      </c>
      <c r="F661" s="8" t="s">
        <v>4382</v>
      </c>
      <c r="G661" s="6" t="s">
        <v>37</v>
      </c>
      <c r="H661" s="6" t="s">
        <v>38</v>
      </c>
      <c r="I661" s="8" t="s">
        <v>62</v>
      </c>
      <c r="J661" s="9">
        <v>1</v>
      </c>
      <c r="K661" s="9">
        <v>214</v>
      </c>
      <c r="L661" s="9">
        <v>2022</v>
      </c>
      <c r="M661" s="8" t="s">
        <v>4389</v>
      </c>
      <c r="N661" s="8" t="s">
        <v>41</v>
      </c>
      <c r="O661" s="8" t="s">
        <v>64</v>
      </c>
      <c r="P661" s="6" t="s">
        <v>65</v>
      </c>
      <c r="Q661" s="8" t="s">
        <v>66</v>
      </c>
      <c r="R661" s="10" t="s">
        <v>4384</v>
      </c>
      <c r="S661" s="11" t="s">
        <v>4385</v>
      </c>
      <c r="T661" s="6"/>
      <c r="U661" s="28" t="str">
        <f>HYPERLINK("https://media.infra-m.ru/1093/1093106/cover/1093106.jpg", "Обложка")</f>
        <v>Обложка</v>
      </c>
      <c r="V661" s="28" t="str">
        <f>HYPERLINK("https://znanium.com/catalog/product/1093106", "Ознакомиться")</f>
        <v>Ознакомиться</v>
      </c>
      <c r="W661" s="8" t="s">
        <v>339</v>
      </c>
      <c r="X661" s="6"/>
      <c r="Y661" s="6"/>
      <c r="Z661" s="6"/>
      <c r="AA661" s="6" t="s">
        <v>530</v>
      </c>
    </row>
    <row r="662" spans="1:27" s="4" customFormat="1" ht="51.95" customHeight="1">
      <c r="A662" s="5">
        <v>0</v>
      </c>
      <c r="B662" s="6" t="s">
        <v>4390</v>
      </c>
      <c r="C662" s="7">
        <v>2680</v>
      </c>
      <c r="D662" s="8" t="s">
        <v>4391</v>
      </c>
      <c r="E662" s="8" t="s">
        <v>4392</v>
      </c>
      <c r="F662" s="8" t="s">
        <v>4393</v>
      </c>
      <c r="G662" s="6" t="s">
        <v>121</v>
      </c>
      <c r="H662" s="6" t="s">
        <v>38</v>
      </c>
      <c r="I662" s="8" t="s">
        <v>39</v>
      </c>
      <c r="J662" s="9">
        <v>1</v>
      </c>
      <c r="K662" s="9">
        <v>582</v>
      </c>
      <c r="L662" s="9">
        <v>2024</v>
      </c>
      <c r="M662" s="8" t="s">
        <v>4394</v>
      </c>
      <c r="N662" s="8" t="s">
        <v>41</v>
      </c>
      <c r="O662" s="8" t="s">
        <v>64</v>
      </c>
      <c r="P662" s="6" t="s">
        <v>43</v>
      </c>
      <c r="Q662" s="8" t="s">
        <v>44</v>
      </c>
      <c r="R662" s="10" t="s">
        <v>4395</v>
      </c>
      <c r="S662" s="11"/>
      <c r="T662" s="6"/>
      <c r="U662" s="28" t="str">
        <f>HYPERLINK("https://media.infra-m.ru/1912/1912941/cover/1912941.jpg", "Обложка")</f>
        <v>Обложка</v>
      </c>
      <c r="V662" s="28" t="str">
        <f>HYPERLINK("https://znanium.com/catalog/product/1912941", "Ознакомиться")</f>
        <v>Ознакомиться</v>
      </c>
      <c r="W662" s="8" t="s">
        <v>313</v>
      </c>
      <c r="X662" s="6"/>
      <c r="Y662" s="6"/>
      <c r="Z662" s="6"/>
      <c r="AA662" s="6" t="s">
        <v>91</v>
      </c>
    </row>
    <row r="663" spans="1:27" s="4" customFormat="1" ht="51.95" customHeight="1">
      <c r="A663" s="5">
        <v>0</v>
      </c>
      <c r="B663" s="6" t="s">
        <v>4396</v>
      </c>
      <c r="C663" s="13">
        <v>760</v>
      </c>
      <c r="D663" s="8" t="s">
        <v>4397</v>
      </c>
      <c r="E663" s="8" t="s">
        <v>4398</v>
      </c>
      <c r="F663" s="8" t="s">
        <v>3850</v>
      </c>
      <c r="G663" s="6" t="s">
        <v>121</v>
      </c>
      <c r="H663" s="6" t="s">
        <v>38</v>
      </c>
      <c r="I663" s="8" t="s">
        <v>2423</v>
      </c>
      <c r="J663" s="9">
        <v>1</v>
      </c>
      <c r="K663" s="9">
        <v>164</v>
      </c>
      <c r="L663" s="9">
        <v>2024</v>
      </c>
      <c r="M663" s="8" t="s">
        <v>4399</v>
      </c>
      <c r="N663" s="8" t="s">
        <v>41</v>
      </c>
      <c r="O663" s="8" t="s">
        <v>64</v>
      </c>
      <c r="P663" s="6" t="s">
        <v>65</v>
      </c>
      <c r="Q663" s="8" t="s">
        <v>132</v>
      </c>
      <c r="R663" s="10" t="s">
        <v>4400</v>
      </c>
      <c r="S663" s="11" t="s">
        <v>4401</v>
      </c>
      <c r="T663" s="6"/>
      <c r="U663" s="28" t="str">
        <f>HYPERLINK("https://media.infra-m.ru/2082/2082638/cover/2082638.jpg", "Обложка")</f>
        <v>Обложка</v>
      </c>
      <c r="V663" s="28" t="str">
        <f>HYPERLINK("https://znanium.com/catalog/product/2082638", "Ознакомиться")</f>
        <v>Ознакомиться</v>
      </c>
      <c r="W663" s="8" t="s">
        <v>2426</v>
      </c>
      <c r="X663" s="6" t="s">
        <v>1002</v>
      </c>
      <c r="Y663" s="6"/>
      <c r="Z663" s="6"/>
      <c r="AA663" s="6" t="s">
        <v>2126</v>
      </c>
    </row>
    <row r="664" spans="1:27" s="4" customFormat="1" ht="51.95" customHeight="1">
      <c r="A664" s="5">
        <v>0</v>
      </c>
      <c r="B664" s="6" t="s">
        <v>4402</v>
      </c>
      <c r="C664" s="7">
        <v>1444.9</v>
      </c>
      <c r="D664" s="8" t="s">
        <v>4403</v>
      </c>
      <c r="E664" s="8" t="s">
        <v>4404</v>
      </c>
      <c r="F664" s="8" t="s">
        <v>4405</v>
      </c>
      <c r="G664" s="6" t="s">
        <v>121</v>
      </c>
      <c r="H664" s="6" t="s">
        <v>207</v>
      </c>
      <c r="I664" s="8" t="s">
        <v>298</v>
      </c>
      <c r="J664" s="9">
        <v>1</v>
      </c>
      <c r="K664" s="9">
        <v>320</v>
      </c>
      <c r="L664" s="9">
        <v>2023</v>
      </c>
      <c r="M664" s="8" t="s">
        <v>4406</v>
      </c>
      <c r="N664" s="8" t="s">
        <v>41</v>
      </c>
      <c r="O664" s="8" t="s">
        <v>64</v>
      </c>
      <c r="P664" s="6" t="s">
        <v>85</v>
      </c>
      <c r="Q664" s="8" t="s">
        <v>66</v>
      </c>
      <c r="R664" s="10" t="s">
        <v>4407</v>
      </c>
      <c r="S664" s="11" t="s">
        <v>4408</v>
      </c>
      <c r="T664" s="6"/>
      <c r="U664" s="28" t="str">
        <f>HYPERLINK("https://media.infra-m.ru/1922/1922316/cover/1922316.jpg", "Обложка")</f>
        <v>Обложка</v>
      </c>
      <c r="V664" s="28" t="str">
        <f>HYPERLINK("https://znanium.com/catalog/product/1234693", "Ознакомиться")</f>
        <v>Ознакомиться</v>
      </c>
      <c r="W664" s="8" t="s">
        <v>339</v>
      </c>
      <c r="X664" s="6"/>
      <c r="Y664" s="6"/>
      <c r="Z664" s="6"/>
      <c r="AA664" s="6" t="s">
        <v>144</v>
      </c>
    </row>
    <row r="665" spans="1:27" s="4" customFormat="1" ht="51.95" customHeight="1">
      <c r="A665" s="5">
        <v>0</v>
      </c>
      <c r="B665" s="6" t="s">
        <v>4409</v>
      </c>
      <c r="C665" s="7">
        <v>1600</v>
      </c>
      <c r="D665" s="8" t="s">
        <v>4410</v>
      </c>
      <c r="E665" s="8" t="s">
        <v>4411</v>
      </c>
      <c r="F665" s="8" t="s">
        <v>4412</v>
      </c>
      <c r="G665" s="6" t="s">
        <v>37</v>
      </c>
      <c r="H665" s="6" t="s">
        <v>38</v>
      </c>
      <c r="I665" s="8" t="s">
        <v>62</v>
      </c>
      <c r="J665" s="9">
        <v>1</v>
      </c>
      <c r="K665" s="9">
        <v>355</v>
      </c>
      <c r="L665" s="9">
        <v>2023</v>
      </c>
      <c r="M665" s="8" t="s">
        <v>4413</v>
      </c>
      <c r="N665" s="8" t="s">
        <v>41</v>
      </c>
      <c r="O665" s="8" t="s">
        <v>64</v>
      </c>
      <c r="P665" s="6" t="s">
        <v>65</v>
      </c>
      <c r="Q665" s="8" t="s">
        <v>66</v>
      </c>
      <c r="R665" s="10" t="s">
        <v>4414</v>
      </c>
      <c r="S665" s="11" t="s">
        <v>4415</v>
      </c>
      <c r="T665" s="6"/>
      <c r="U665" s="28" t="str">
        <f>HYPERLINK("https://media.infra-m.ru/1930/1930703/cover/1930703.jpg", "Обложка")</f>
        <v>Обложка</v>
      </c>
      <c r="V665" s="28" t="str">
        <f>HYPERLINK("https://znanium.com/catalog/product/1930703", "Ознакомиться")</f>
        <v>Ознакомиться</v>
      </c>
      <c r="W665" s="8" t="s">
        <v>4416</v>
      </c>
      <c r="X665" s="6"/>
      <c r="Y665" s="6"/>
      <c r="Z665" s="6"/>
      <c r="AA665" s="6" t="s">
        <v>320</v>
      </c>
    </row>
    <row r="666" spans="1:27" s="4" customFormat="1" ht="51.95" customHeight="1">
      <c r="A666" s="5">
        <v>0</v>
      </c>
      <c r="B666" s="6" t="s">
        <v>4417</v>
      </c>
      <c r="C666" s="7">
        <v>1874</v>
      </c>
      <c r="D666" s="8" t="s">
        <v>4418</v>
      </c>
      <c r="E666" s="8" t="s">
        <v>4419</v>
      </c>
      <c r="F666" s="8" t="s">
        <v>4420</v>
      </c>
      <c r="G666" s="6" t="s">
        <v>37</v>
      </c>
      <c r="H666" s="6" t="s">
        <v>38</v>
      </c>
      <c r="I666" s="8" t="s">
        <v>62</v>
      </c>
      <c r="J666" s="9">
        <v>1</v>
      </c>
      <c r="K666" s="9">
        <v>408</v>
      </c>
      <c r="L666" s="9">
        <v>2023</v>
      </c>
      <c r="M666" s="8" t="s">
        <v>4421</v>
      </c>
      <c r="N666" s="8" t="s">
        <v>41</v>
      </c>
      <c r="O666" s="8" t="s">
        <v>181</v>
      </c>
      <c r="P666" s="6" t="s">
        <v>85</v>
      </c>
      <c r="Q666" s="8" t="s">
        <v>66</v>
      </c>
      <c r="R666" s="10" t="s">
        <v>76</v>
      </c>
      <c r="S666" s="11" t="s">
        <v>4422</v>
      </c>
      <c r="T666" s="6"/>
      <c r="U666" s="28" t="str">
        <f>HYPERLINK("https://media.infra-m.ru/2118/2118683/cover/2118683.jpg", "Обложка")</f>
        <v>Обложка</v>
      </c>
      <c r="V666" s="12"/>
      <c r="W666" s="8" t="s">
        <v>4423</v>
      </c>
      <c r="X666" s="6"/>
      <c r="Y666" s="6"/>
      <c r="Z666" s="6"/>
      <c r="AA666" s="6" t="s">
        <v>1523</v>
      </c>
    </row>
    <row r="667" spans="1:27" s="4" customFormat="1" ht="51.95" customHeight="1">
      <c r="A667" s="5">
        <v>0</v>
      </c>
      <c r="B667" s="6" t="s">
        <v>4424</v>
      </c>
      <c r="C667" s="7">
        <v>1000</v>
      </c>
      <c r="D667" s="8" t="s">
        <v>4425</v>
      </c>
      <c r="E667" s="8" t="s">
        <v>4426</v>
      </c>
      <c r="F667" s="8" t="s">
        <v>4427</v>
      </c>
      <c r="G667" s="6" t="s">
        <v>37</v>
      </c>
      <c r="H667" s="6" t="s">
        <v>207</v>
      </c>
      <c r="I667" s="8" t="s">
        <v>130</v>
      </c>
      <c r="J667" s="9">
        <v>1</v>
      </c>
      <c r="K667" s="9">
        <v>200</v>
      </c>
      <c r="L667" s="9">
        <v>2024</v>
      </c>
      <c r="M667" s="8" t="s">
        <v>4428</v>
      </c>
      <c r="N667" s="8" t="s">
        <v>41</v>
      </c>
      <c r="O667" s="8" t="s">
        <v>64</v>
      </c>
      <c r="P667" s="6" t="s">
        <v>65</v>
      </c>
      <c r="Q667" s="8" t="s">
        <v>66</v>
      </c>
      <c r="R667" s="10" t="s">
        <v>4429</v>
      </c>
      <c r="S667" s="11" t="s">
        <v>4430</v>
      </c>
      <c r="T667" s="6"/>
      <c r="U667" s="28" t="str">
        <f>HYPERLINK("https://media.infra-m.ru/2087/2087253/cover/2087253.jpg", "Обложка")</f>
        <v>Обложка</v>
      </c>
      <c r="V667" s="28" t="str">
        <f>HYPERLINK("https://znanium.com/catalog/product/2087253", "Ознакомиться")</f>
        <v>Ознакомиться</v>
      </c>
      <c r="W667" s="8" t="s">
        <v>2418</v>
      </c>
      <c r="X667" s="6"/>
      <c r="Y667" s="6"/>
      <c r="Z667" s="6"/>
      <c r="AA667" s="6" t="s">
        <v>100</v>
      </c>
    </row>
    <row r="668" spans="1:27" s="4" customFormat="1" ht="51.95" customHeight="1">
      <c r="A668" s="5">
        <v>0</v>
      </c>
      <c r="B668" s="6" t="s">
        <v>4431</v>
      </c>
      <c r="C668" s="7">
        <v>1330</v>
      </c>
      <c r="D668" s="8" t="s">
        <v>4432</v>
      </c>
      <c r="E668" s="8" t="s">
        <v>4433</v>
      </c>
      <c r="F668" s="8" t="s">
        <v>4434</v>
      </c>
      <c r="G668" s="6" t="s">
        <v>37</v>
      </c>
      <c r="H668" s="6" t="s">
        <v>38</v>
      </c>
      <c r="I668" s="8" t="s">
        <v>130</v>
      </c>
      <c r="J668" s="9">
        <v>1</v>
      </c>
      <c r="K668" s="9">
        <v>293</v>
      </c>
      <c r="L668" s="9">
        <v>2023</v>
      </c>
      <c r="M668" s="8" t="s">
        <v>4435</v>
      </c>
      <c r="N668" s="8" t="s">
        <v>41</v>
      </c>
      <c r="O668" s="8" t="s">
        <v>64</v>
      </c>
      <c r="P668" s="6" t="s">
        <v>65</v>
      </c>
      <c r="Q668" s="8" t="s">
        <v>132</v>
      </c>
      <c r="R668" s="10" t="s">
        <v>2958</v>
      </c>
      <c r="S668" s="11" t="s">
        <v>4436</v>
      </c>
      <c r="T668" s="6"/>
      <c r="U668" s="28" t="str">
        <f>HYPERLINK("https://media.infra-m.ru/1905/1905750/cover/1905750.jpg", "Обложка")</f>
        <v>Обложка</v>
      </c>
      <c r="V668" s="28" t="str">
        <f>HYPERLINK("https://znanium.com/catalog/product/1905750", "Ознакомиться")</f>
        <v>Ознакомиться</v>
      </c>
      <c r="W668" s="8" t="s">
        <v>666</v>
      </c>
      <c r="X668" s="6"/>
      <c r="Y668" s="6"/>
      <c r="Z668" s="6"/>
      <c r="AA668" s="6" t="s">
        <v>57</v>
      </c>
    </row>
    <row r="669" spans="1:27" s="4" customFormat="1" ht="44.1" customHeight="1">
      <c r="A669" s="5">
        <v>0</v>
      </c>
      <c r="B669" s="6" t="s">
        <v>4437</v>
      </c>
      <c r="C669" s="13">
        <v>649.9</v>
      </c>
      <c r="D669" s="8" t="s">
        <v>4438</v>
      </c>
      <c r="E669" s="8" t="s">
        <v>4439</v>
      </c>
      <c r="F669" s="8" t="s">
        <v>4440</v>
      </c>
      <c r="G669" s="6"/>
      <c r="H669" s="6" t="s">
        <v>38</v>
      </c>
      <c r="I669" s="8" t="s">
        <v>62</v>
      </c>
      <c r="J669" s="9">
        <v>14</v>
      </c>
      <c r="K669" s="9">
        <v>332</v>
      </c>
      <c r="L669" s="9">
        <v>2015</v>
      </c>
      <c r="M669" s="8" t="s">
        <v>4441</v>
      </c>
      <c r="N669" s="8" t="s">
        <v>41</v>
      </c>
      <c r="O669" s="8" t="s">
        <v>64</v>
      </c>
      <c r="P669" s="6" t="s">
        <v>65</v>
      </c>
      <c r="Q669" s="8" t="s">
        <v>66</v>
      </c>
      <c r="R669" s="10" t="s">
        <v>4442</v>
      </c>
      <c r="S669" s="11"/>
      <c r="T669" s="6"/>
      <c r="U669" s="28" t="str">
        <f>HYPERLINK("https://media.infra-m.ru/0483/0483086/cover/483086.jpg", "Обложка")</f>
        <v>Обложка</v>
      </c>
      <c r="V669" s="28" t="str">
        <f>HYPERLINK("https://znanium.com/catalog/product/483086", "Ознакомиться")</f>
        <v>Ознакомиться</v>
      </c>
      <c r="W669" s="8" t="s">
        <v>2539</v>
      </c>
      <c r="X669" s="6"/>
      <c r="Y669" s="6"/>
      <c r="Z669" s="6"/>
      <c r="AA669" s="6" t="s">
        <v>57</v>
      </c>
    </row>
    <row r="670" spans="1:27" s="4" customFormat="1" ht="51.95" customHeight="1">
      <c r="A670" s="5">
        <v>0</v>
      </c>
      <c r="B670" s="6" t="s">
        <v>4443</v>
      </c>
      <c r="C670" s="7">
        <v>2424</v>
      </c>
      <c r="D670" s="8" t="s">
        <v>4444</v>
      </c>
      <c r="E670" s="8" t="s">
        <v>4445</v>
      </c>
      <c r="F670" s="8" t="s">
        <v>4446</v>
      </c>
      <c r="G670" s="6" t="s">
        <v>121</v>
      </c>
      <c r="H670" s="6" t="s">
        <v>38</v>
      </c>
      <c r="I670" s="8" t="s">
        <v>62</v>
      </c>
      <c r="J670" s="9">
        <v>1</v>
      </c>
      <c r="K670" s="9">
        <v>528</v>
      </c>
      <c r="L670" s="9">
        <v>2024</v>
      </c>
      <c r="M670" s="8" t="s">
        <v>4447</v>
      </c>
      <c r="N670" s="8" t="s">
        <v>41</v>
      </c>
      <c r="O670" s="8" t="s">
        <v>64</v>
      </c>
      <c r="P670" s="6" t="s">
        <v>85</v>
      </c>
      <c r="Q670" s="8" t="s">
        <v>66</v>
      </c>
      <c r="R670" s="10" t="s">
        <v>4448</v>
      </c>
      <c r="S670" s="11" t="s">
        <v>4449</v>
      </c>
      <c r="T670" s="6"/>
      <c r="U670" s="28" t="str">
        <f>HYPERLINK("https://media.infra-m.ru/2087/2087319/cover/2087319.jpg", "Обложка")</f>
        <v>Обложка</v>
      </c>
      <c r="V670" s="28" t="str">
        <f>HYPERLINK("https://znanium.com/catalog/product/1904027", "Ознакомиться")</f>
        <v>Ознакомиться</v>
      </c>
      <c r="W670" s="8" t="s">
        <v>1245</v>
      </c>
      <c r="X670" s="6"/>
      <c r="Y670" s="6"/>
      <c r="Z670" s="6"/>
      <c r="AA670" s="6" t="s">
        <v>144</v>
      </c>
    </row>
    <row r="671" spans="1:27" s="4" customFormat="1" ht="51.95" customHeight="1">
      <c r="A671" s="5">
        <v>0</v>
      </c>
      <c r="B671" s="6" t="s">
        <v>4450</v>
      </c>
      <c r="C671" s="7">
        <v>1774.9</v>
      </c>
      <c r="D671" s="8" t="s">
        <v>4451</v>
      </c>
      <c r="E671" s="8" t="s">
        <v>4452</v>
      </c>
      <c r="F671" s="8" t="s">
        <v>4453</v>
      </c>
      <c r="G671" s="6" t="s">
        <v>121</v>
      </c>
      <c r="H671" s="6" t="s">
        <v>38</v>
      </c>
      <c r="I671" s="8" t="s">
        <v>62</v>
      </c>
      <c r="J671" s="9">
        <v>1</v>
      </c>
      <c r="K671" s="9">
        <v>397</v>
      </c>
      <c r="L671" s="9">
        <v>2020</v>
      </c>
      <c r="M671" s="8" t="s">
        <v>4454</v>
      </c>
      <c r="N671" s="8" t="s">
        <v>41</v>
      </c>
      <c r="O671" s="8" t="s">
        <v>64</v>
      </c>
      <c r="P671" s="6" t="s">
        <v>65</v>
      </c>
      <c r="Q671" s="8" t="s">
        <v>66</v>
      </c>
      <c r="R671" s="10" t="s">
        <v>4455</v>
      </c>
      <c r="S671" s="11" t="s">
        <v>4456</v>
      </c>
      <c r="T671" s="6"/>
      <c r="U671" s="28" t="str">
        <f>HYPERLINK("https://media.infra-m.ru/1052/1052191/cover/1052191.jpg", "Обложка")</f>
        <v>Обложка</v>
      </c>
      <c r="V671" s="28" t="str">
        <f>HYPERLINK("https://znanium.com/catalog/product/972302", "Ознакомиться")</f>
        <v>Ознакомиться</v>
      </c>
      <c r="W671" s="8" t="s">
        <v>125</v>
      </c>
      <c r="X671" s="6"/>
      <c r="Y671" s="6"/>
      <c r="Z671" s="6"/>
      <c r="AA671" s="6" t="s">
        <v>57</v>
      </c>
    </row>
    <row r="672" spans="1:27" s="4" customFormat="1" ht="51.95" customHeight="1">
      <c r="A672" s="5">
        <v>0</v>
      </c>
      <c r="B672" s="6" t="s">
        <v>4457</v>
      </c>
      <c r="C672" s="7">
        <v>2484</v>
      </c>
      <c r="D672" s="8" t="s">
        <v>4458</v>
      </c>
      <c r="E672" s="8" t="s">
        <v>4459</v>
      </c>
      <c r="F672" s="8" t="s">
        <v>4460</v>
      </c>
      <c r="G672" s="6" t="s">
        <v>37</v>
      </c>
      <c r="H672" s="6" t="s">
        <v>38</v>
      </c>
      <c r="I672" s="8" t="s">
        <v>62</v>
      </c>
      <c r="J672" s="9">
        <v>1</v>
      </c>
      <c r="K672" s="9">
        <v>615</v>
      </c>
      <c r="L672" s="9">
        <v>2023</v>
      </c>
      <c r="M672" s="8" t="s">
        <v>4461</v>
      </c>
      <c r="N672" s="8" t="s">
        <v>41</v>
      </c>
      <c r="O672" s="8" t="s">
        <v>64</v>
      </c>
      <c r="P672" s="6" t="s">
        <v>85</v>
      </c>
      <c r="Q672" s="8" t="s">
        <v>66</v>
      </c>
      <c r="R672" s="10" t="s">
        <v>2538</v>
      </c>
      <c r="S672" s="11" t="s">
        <v>4462</v>
      </c>
      <c r="T672" s="6"/>
      <c r="U672" s="28" t="str">
        <f>HYPERLINK("https://media.infra-m.ru/2069/2069323/cover/2069323.jpg", "Обложка")</f>
        <v>Обложка</v>
      </c>
      <c r="V672" s="28" t="str">
        <f>HYPERLINK("https://znanium.com/catalog/product/1914174", "Ознакомиться")</f>
        <v>Ознакомиться</v>
      </c>
      <c r="W672" s="8" t="s">
        <v>3162</v>
      </c>
      <c r="X672" s="6"/>
      <c r="Y672" s="6"/>
      <c r="Z672" s="6"/>
      <c r="AA672" s="6" t="s">
        <v>4463</v>
      </c>
    </row>
    <row r="673" spans="1:27" s="4" customFormat="1" ht="51.95" customHeight="1">
      <c r="A673" s="5">
        <v>0</v>
      </c>
      <c r="B673" s="6" t="s">
        <v>4464</v>
      </c>
      <c r="C673" s="7">
        <v>1364</v>
      </c>
      <c r="D673" s="8" t="s">
        <v>4465</v>
      </c>
      <c r="E673" s="8" t="s">
        <v>4452</v>
      </c>
      <c r="F673" s="8" t="s">
        <v>1447</v>
      </c>
      <c r="G673" s="6" t="s">
        <v>37</v>
      </c>
      <c r="H673" s="6" t="s">
        <v>38</v>
      </c>
      <c r="I673" s="8" t="s">
        <v>62</v>
      </c>
      <c r="J673" s="9">
        <v>1</v>
      </c>
      <c r="K673" s="9">
        <v>296</v>
      </c>
      <c r="L673" s="9">
        <v>2024</v>
      </c>
      <c r="M673" s="8" t="s">
        <v>4466</v>
      </c>
      <c r="N673" s="8" t="s">
        <v>41</v>
      </c>
      <c r="O673" s="8" t="s">
        <v>64</v>
      </c>
      <c r="P673" s="6" t="s">
        <v>65</v>
      </c>
      <c r="Q673" s="8" t="s">
        <v>66</v>
      </c>
      <c r="R673" s="10" t="s">
        <v>2538</v>
      </c>
      <c r="S673" s="11" t="s">
        <v>4467</v>
      </c>
      <c r="T673" s="6"/>
      <c r="U673" s="28" t="str">
        <f>HYPERLINK("https://media.infra-m.ru/2119/2119962/cover/2119962.jpg", "Обложка")</f>
        <v>Обложка</v>
      </c>
      <c r="V673" s="28" t="str">
        <f>HYPERLINK("https://znanium.com/catalog/product/1843635", "Ознакомиться")</f>
        <v>Ознакомиться</v>
      </c>
      <c r="W673" s="8" t="s">
        <v>1449</v>
      </c>
      <c r="X673" s="6"/>
      <c r="Y673" s="6"/>
      <c r="Z673" s="6"/>
      <c r="AA673" s="6" t="s">
        <v>47</v>
      </c>
    </row>
    <row r="674" spans="1:27" s="4" customFormat="1" ht="51.95" customHeight="1">
      <c r="A674" s="5">
        <v>0</v>
      </c>
      <c r="B674" s="6" t="s">
        <v>4468</v>
      </c>
      <c r="C674" s="13">
        <v>650</v>
      </c>
      <c r="D674" s="8" t="s">
        <v>4469</v>
      </c>
      <c r="E674" s="8" t="s">
        <v>4452</v>
      </c>
      <c r="F674" s="8" t="s">
        <v>4470</v>
      </c>
      <c r="G674" s="6" t="s">
        <v>37</v>
      </c>
      <c r="H674" s="6" t="s">
        <v>38</v>
      </c>
      <c r="I674" s="8" t="s">
        <v>62</v>
      </c>
      <c r="J674" s="9">
        <v>1</v>
      </c>
      <c r="K674" s="9">
        <v>204</v>
      </c>
      <c r="L674" s="9">
        <v>2019</v>
      </c>
      <c r="M674" s="8" t="s">
        <v>4471</v>
      </c>
      <c r="N674" s="8" t="s">
        <v>41</v>
      </c>
      <c r="O674" s="8" t="s">
        <v>64</v>
      </c>
      <c r="P674" s="6" t="s">
        <v>65</v>
      </c>
      <c r="Q674" s="8" t="s">
        <v>66</v>
      </c>
      <c r="R674" s="10" t="s">
        <v>3203</v>
      </c>
      <c r="S674" s="11" t="s">
        <v>3204</v>
      </c>
      <c r="T674" s="6"/>
      <c r="U674" s="28" t="str">
        <f>HYPERLINK("https://media.infra-m.ru/1009/1009726/cover/1009726.jpg", "Обложка")</f>
        <v>Обложка</v>
      </c>
      <c r="V674" s="28" t="str">
        <f>HYPERLINK("https://znanium.com/catalog/product/1945170", "Ознакомиться")</f>
        <v>Ознакомиться</v>
      </c>
      <c r="W674" s="8" t="s">
        <v>184</v>
      </c>
      <c r="X674" s="6"/>
      <c r="Y674" s="6"/>
      <c r="Z674" s="6"/>
      <c r="AA674" s="6" t="s">
        <v>57</v>
      </c>
    </row>
    <row r="675" spans="1:27" s="4" customFormat="1" ht="51.95" customHeight="1">
      <c r="A675" s="5">
        <v>0</v>
      </c>
      <c r="B675" s="6" t="s">
        <v>4472</v>
      </c>
      <c r="C675" s="7">
        <v>1654</v>
      </c>
      <c r="D675" s="8" t="s">
        <v>4473</v>
      </c>
      <c r="E675" s="8" t="s">
        <v>4452</v>
      </c>
      <c r="F675" s="8" t="s">
        <v>4474</v>
      </c>
      <c r="G675" s="6" t="s">
        <v>121</v>
      </c>
      <c r="H675" s="6" t="s">
        <v>38</v>
      </c>
      <c r="I675" s="8" t="s">
        <v>83</v>
      </c>
      <c r="J675" s="9">
        <v>1</v>
      </c>
      <c r="K675" s="9">
        <v>360</v>
      </c>
      <c r="L675" s="9">
        <v>2024</v>
      </c>
      <c r="M675" s="8" t="s">
        <v>4475</v>
      </c>
      <c r="N675" s="8" t="s">
        <v>41</v>
      </c>
      <c r="O675" s="8" t="s">
        <v>64</v>
      </c>
      <c r="P675" s="6" t="s">
        <v>65</v>
      </c>
      <c r="Q675" s="8" t="s">
        <v>66</v>
      </c>
      <c r="R675" s="10" t="s">
        <v>4476</v>
      </c>
      <c r="S675" s="11" t="s">
        <v>4477</v>
      </c>
      <c r="T675" s="6"/>
      <c r="U675" s="28" t="str">
        <f>HYPERLINK("https://media.infra-m.ru/2091/2091923/cover/2091923.jpg", "Обложка")</f>
        <v>Обложка</v>
      </c>
      <c r="V675" s="28" t="str">
        <f>HYPERLINK("https://znanium.com/catalog/product/1945409", "Ознакомиться")</f>
        <v>Ознакомиться</v>
      </c>
      <c r="W675" s="8" t="s">
        <v>1170</v>
      </c>
      <c r="X675" s="6"/>
      <c r="Y675" s="6"/>
      <c r="Z675" s="6"/>
      <c r="AA675" s="6" t="s">
        <v>161</v>
      </c>
    </row>
    <row r="676" spans="1:27" s="4" customFormat="1" ht="42" customHeight="1">
      <c r="A676" s="5">
        <v>0</v>
      </c>
      <c r="B676" s="6" t="s">
        <v>4478</v>
      </c>
      <c r="C676" s="13">
        <v>490</v>
      </c>
      <c r="D676" s="8" t="s">
        <v>4479</v>
      </c>
      <c r="E676" s="8" t="s">
        <v>4480</v>
      </c>
      <c r="F676" s="8" t="s">
        <v>4481</v>
      </c>
      <c r="G676" s="6" t="s">
        <v>52</v>
      </c>
      <c r="H676" s="6" t="s">
        <v>38</v>
      </c>
      <c r="I676" s="8" t="s">
        <v>39</v>
      </c>
      <c r="J676" s="9">
        <v>1</v>
      </c>
      <c r="K676" s="9">
        <v>144</v>
      </c>
      <c r="L676" s="9">
        <v>2020</v>
      </c>
      <c r="M676" s="8" t="s">
        <v>4482</v>
      </c>
      <c r="N676" s="8" t="s">
        <v>41</v>
      </c>
      <c r="O676" s="8" t="s">
        <v>64</v>
      </c>
      <c r="P676" s="6" t="s">
        <v>43</v>
      </c>
      <c r="Q676" s="8" t="s">
        <v>44</v>
      </c>
      <c r="R676" s="10" t="s">
        <v>4483</v>
      </c>
      <c r="S676" s="11"/>
      <c r="T676" s="6"/>
      <c r="U676" s="28" t="str">
        <f>HYPERLINK("https://media.infra-m.ru/1036/1036434/cover/1036434.jpg", "Обложка")</f>
        <v>Обложка</v>
      </c>
      <c r="V676" s="28" t="str">
        <f>HYPERLINK("https://znanium.com/catalog/product/1036434", "Ознакомиться")</f>
        <v>Ознакомиться</v>
      </c>
      <c r="W676" s="8" t="s">
        <v>4273</v>
      </c>
      <c r="X676" s="6"/>
      <c r="Y676" s="6"/>
      <c r="Z676" s="6"/>
      <c r="AA676" s="6" t="s">
        <v>70</v>
      </c>
    </row>
    <row r="677" spans="1:27" s="4" customFormat="1" ht="51.95" customHeight="1">
      <c r="A677" s="5">
        <v>0</v>
      </c>
      <c r="B677" s="6" t="s">
        <v>4484</v>
      </c>
      <c r="C677" s="7">
        <v>2792</v>
      </c>
      <c r="D677" s="8" t="s">
        <v>4485</v>
      </c>
      <c r="E677" s="8" t="s">
        <v>4486</v>
      </c>
      <c r="F677" s="8" t="s">
        <v>4487</v>
      </c>
      <c r="G677" s="6" t="s">
        <v>121</v>
      </c>
      <c r="H677" s="6" t="s">
        <v>679</v>
      </c>
      <c r="I677" s="8"/>
      <c r="J677" s="9">
        <v>1</v>
      </c>
      <c r="K677" s="9">
        <v>944</v>
      </c>
      <c r="L677" s="9">
        <v>2024</v>
      </c>
      <c r="M677" s="8" t="s">
        <v>4488</v>
      </c>
      <c r="N677" s="8" t="s">
        <v>41</v>
      </c>
      <c r="O677" s="8" t="s">
        <v>54</v>
      </c>
      <c r="P677" s="6" t="s">
        <v>85</v>
      </c>
      <c r="Q677" s="8" t="s">
        <v>66</v>
      </c>
      <c r="R677" s="10" t="s">
        <v>4489</v>
      </c>
      <c r="S677" s="11"/>
      <c r="T677" s="6"/>
      <c r="U677" s="28" t="str">
        <f>HYPERLINK("https://media.infra-m.ru/2121/2121617/cover/2121617.jpg", "Обложка")</f>
        <v>Обложка</v>
      </c>
      <c r="V677" s="28" t="str">
        <f>HYPERLINK("https://znanium.com/catalog/product/2121617", "Ознакомиться")</f>
        <v>Ознакомиться</v>
      </c>
      <c r="W677" s="8" t="s">
        <v>2075</v>
      </c>
      <c r="X677" s="6"/>
      <c r="Y677" s="6"/>
      <c r="Z677" s="6"/>
      <c r="AA677" s="6" t="s">
        <v>100</v>
      </c>
    </row>
    <row r="678" spans="1:27" s="4" customFormat="1" ht="51.95" customHeight="1">
      <c r="A678" s="5">
        <v>0</v>
      </c>
      <c r="B678" s="6" t="s">
        <v>4490</v>
      </c>
      <c r="C678" s="7">
        <v>1390</v>
      </c>
      <c r="D678" s="8" t="s">
        <v>4491</v>
      </c>
      <c r="E678" s="8" t="s">
        <v>4492</v>
      </c>
      <c r="F678" s="8" t="s">
        <v>4493</v>
      </c>
      <c r="G678" s="6" t="s">
        <v>37</v>
      </c>
      <c r="H678" s="6" t="s">
        <v>264</v>
      </c>
      <c r="I678" s="8" t="s">
        <v>62</v>
      </c>
      <c r="J678" s="9">
        <v>1</v>
      </c>
      <c r="K678" s="9">
        <v>257</v>
      </c>
      <c r="L678" s="9">
        <v>2019</v>
      </c>
      <c r="M678" s="8" t="s">
        <v>4494</v>
      </c>
      <c r="N678" s="8" t="s">
        <v>41</v>
      </c>
      <c r="O678" s="8" t="s">
        <v>54</v>
      </c>
      <c r="P678" s="6" t="s">
        <v>85</v>
      </c>
      <c r="Q678" s="8" t="s">
        <v>66</v>
      </c>
      <c r="R678" s="10" t="s">
        <v>4495</v>
      </c>
      <c r="S678" s="11"/>
      <c r="T678" s="6"/>
      <c r="U678" s="28" t="str">
        <f>HYPERLINK("https://media.infra-m.ru/1029/1029152/cover/1029152.jpg", "Обложка")</f>
        <v>Обложка</v>
      </c>
      <c r="V678" s="28" t="str">
        <f>HYPERLINK("https://znanium.com/catalog/product/1905581", "Ознакомиться")</f>
        <v>Ознакомиться</v>
      </c>
      <c r="W678" s="8" t="s">
        <v>1001</v>
      </c>
      <c r="X678" s="6"/>
      <c r="Y678" s="6"/>
      <c r="Z678" s="6"/>
      <c r="AA678" s="6" t="s">
        <v>91</v>
      </c>
    </row>
    <row r="679" spans="1:27" s="4" customFormat="1" ht="51.95" customHeight="1">
      <c r="A679" s="5">
        <v>0</v>
      </c>
      <c r="B679" s="6" t="s">
        <v>4496</v>
      </c>
      <c r="C679" s="7">
        <v>1340</v>
      </c>
      <c r="D679" s="8" t="s">
        <v>4497</v>
      </c>
      <c r="E679" s="8" t="s">
        <v>4498</v>
      </c>
      <c r="F679" s="8" t="s">
        <v>4499</v>
      </c>
      <c r="G679" s="6" t="s">
        <v>37</v>
      </c>
      <c r="H679" s="6" t="s">
        <v>38</v>
      </c>
      <c r="I679" s="8" t="s">
        <v>1198</v>
      </c>
      <c r="J679" s="9">
        <v>1</v>
      </c>
      <c r="K679" s="9">
        <v>296</v>
      </c>
      <c r="L679" s="9">
        <v>2023</v>
      </c>
      <c r="M679" s="8" t="s">
        <v>4500</v>
      </c>
      <c r="N679" s="8" t="s">
        <v>41</v>
      </c>
      <c r="O679" s="8" t="s">
        <v>54</v>
      </c>
      <c r="P679" s="6" t="s">
        <v>85</v>
      </c>
      <c r="Q679" s="8" t="s">
        <v>86</v>
      </c>
      <c r="R679" s="10" t="s">
        <v>4501</v>
      </c>
      <c r="S679" s="11" t="s">
        <v>4502</v>
      </c>
      <c r="T679" s="6"/>
      <c r="U679" s="28" t="str">
        <f>HYPERLINK("https://media.infra-m.ru/1903/1903384/cover/1903384.jpg", "Обложка")</f>
        <v>Обложка</v>
      </c>
      <c r="V679" s="28" t="str">
        <f>HYPERLINK("https://znanium.com/catalog/product/1903384", "Ознакомиться")</f>
        <v>Ознакомиться</v>
      </c>
      <c r="W679" s="8" t="s">
        <v>1001</v>
      </c>
      <c r="X679" s="6"/>
      <c r="Y679" s="6"/>
      <c r="Z679" s="6"/>
      <c r="AA679" s="6" t="s">
        <v>108</v>
      </c>
    </row>
    <row r="680" spans="1:27" s="4" customFormat="1" ht="51.95" customHeight="1">
      <c r="A680" s="5">
        <v>0</v>
      </c>
      <c r="B680" s="6" t="s">
        <v>4503</v>
      </c>
      <c r="C680" s="7">
        <v>1740</v>
      </c>
      <c r="D680" s="8" t="s">
        <v>4504</v>
      </c>
      <c r="E680" s="8" t="s">
        <v>4505</v>
      </c>
      <c r="F680" s="8" t="s">
        <v>4493</v>
      </c>
      <c r="G680" s="6" t="s">
        <v>37</v>
      </c>
      <c r="H680" s="6" t="s">
        <v>38</v>
      </c>
      <c r="I680" s="8" t="s">
        <v>130</v>
      </c>
      <c r="J680" s="9">
        <v>1</v>
      </c>
      <c r="K680" s="9">
        <v>387</v>
      </c>
      <c r="L680" s="9">
        <v>2023</v>
      </c>
      <c r="M680" s="8" t="s">
        <v>4506</v>
      </c>
      <c r="N680" s="8" t="s">
        <v>41</v>
      </c>
      <c r="O680" s="8" t="s">
        <v>54</v>
      </c>
      <c r="P680" s="6" t="s">
        <v>85</v>
      </c>
      <c r="Q680" s="8" t="s">
        <v>132</v>
      </c>
      <c r="R680" s="10" t="s">
        <v>4495</v>
      </c>
      <c r="S680" s="11" t="s">
        <v>4507</v>
      </c>
      <c r="T680" s="6"/>
      <c r="U680" s="28" t="str">
        <f>HYPERLINK("https://media.infra-m.ru/2050/2050461/cover/2050461.jpg", "Обложка")</f>
        <v>Обложка</v>
      </c>
      <c r="V680" s="28" t="str">
        <f>HYPERLINK("https://znanium.com/catalog/product/1905581", "Ознакомиться")</f>
        <v>Ознакомиться</v>
      </c>
      <c r="W680" s="8" t="s">
        <v>1001</v>
      </c>
      <c r="X680" s="6"/>
      <c r="Y680" s="6"/>
      <c r="Z680" s="6"/>
      <c r="AA680" s="6" t="s">
        <v>1268</v>
      </c>
    </row>
    <row r="681" spans="1:27" s="4" customFormat="1" ht="42" customHeight="1">
      <c r="A681" s="5">
        <v>0</v>
      </c>
      <c r="B681" s="6" t="s">
        <v>4508</v>
      </c>
      <c r="C681" s="7">
        <v>1514</v>
      </c>
      <c r="D681" s="8" t="s">
        <v>4509</v>
      </c>
      <c r="E681" s="8" t="s">
        <v>4510</v>
      </c>
      <c r="F681" s="8" t="s">
        <v>4511</v>
      </c>
      <c r="G681" s="6" t="s">
        <v>121</v>
      </c>
      <c r="H681" s="6" t="s">
        <v>38</v>
      </c>
      <c r="I681" s="8" t="s">
        <v>62</v>
      </c>
      <c r="J681" s="9">
        <v>1</v>
      </c>
      <c r="K681" s="9">
        <v>329</v>
      </c>
      <c r="L681" s="9">
        <v>2024</v>
      </c>
      <c r="M681" s="8" t="s">
        <v>4512</v>
      </c>
      <c r="N681" s="8" t="s">
        <v>41</v>
      </c>
      <c r="O681" s="8" t="s">
        <v>54</v>
      </c>
      <c r="P681" s="6" t="s">
        <v>65</v>
      </c>
      <c r="Q681" s="8" t="s">
        <v>66</v>
      </c>
      <c r="R681" s="10" t="s">
        <v>1280</v>
      </c>
      <c r="S681" s="11"/>
      <c r="T681" s="6"/>
      <c r="U681" s="28" t="str">
        <f>HYPERLINK("https://media.infra-m.ru/2086/2086861/cover/2086861.jpg", "Обложка")</f>
        <v>Обложка</v>
      </c>
      <c r="V681" s="28" t="str">
        <f>HYPERLINK("https://znanium.com/catalog/product/1228789", "Ознакомиться")</f>
        <v>Ознакомиться</v>
      </c>
      <c r="W681" s="8" t="s">
        <v>666</v>
      </c>
      <c r="X681" s="6"/>
      <c r="Y681" s="6"/>
      <c r="Z681" s="6"/>
      <c r="AA681" s="6" t="s">
        <v>100</v>
      </c>
    </row>
    <row r="682" spans="1:27" s="4" customFormat="1" ht="51.95" customHeight="1">
      <c r="A682" s="5">
        <v>0</v>
      </c>
      <c r="B682" s="6" t="s">
        <v>4513</v>
      </c>
      <c r="C682" s="13">
        <v>994</v>
      </c>
      <c r="D682" s="8" t="s">
        <v>4514</v>
      </c>
      <c r="E682" s="8" t="s">
        <v>4515</v>
      </c>
      <c r="F682" s="8" t="s">
        <v>1590</v>
      </c>
      <c r="G682" s="6" t="s">
        <v>52</v>
      </c>
      <c r="H682" s="6" t="s">
        <v>38</v>
      </c>
      <c r="I682" s="8" t="s">
        <v>62</v>
      </c>
      <c r="J682" s="9">
        <v>1</v>
      </c>
      <c r="K682" s="9">
        <v>216</v>
      </c>
      <c r="L682" s="9">
        <v>2024</v>
      </c>
      <c r="M682" s="8" t="s">
        <v>4516</v>
      </c>
      <c r="N682" s="8" t="s">
        <v>41</v>
      </c>
      <c r="O682" s="8" t="s">
        <v>54</v>
      </c>
      <c r="P682" s="6" t="s">
        <v>65</v>
      </c>
      <c r="Q682" s="8" t="s">
        <v>66</v>
      </c>
      <c r="R682" s="10" t="s">
        <v>4517</v>
      </c>
      <c r="S682" s="11" t="s">
        <v>4518</v>
      </c>
      <c r="T682" s="6" t="s">
        <v>89</v>
      </c>
      <c r="U682" s="28" t="str">
        <f>HYPERLINK("https://media.infra-m.ru/2082/2082862/cover/2082862.jpg", "Обложка")</f>
        <v>Обложка</v>
      </c>
      <c r="V682" s="28" t="str">
        <f>HYPERLINK("https://znanium.com/catalog/product/1842541", "Ознакомиться")</f>
        <v>Ознакомиться</v>
      </c>
      <c r="W682" s="8" t="s">
        <v>558</v>
      </c>
      <c r="X682" s="6"/>
      <c r="Y682" s="6"/>
      <c r="Z682" s="6"/>
      <c r="AA682" s="6" t="s">
        <v>47</v>
      </c>
    </row>
    <row r="683" spans="1:27" s="4" customFormat="1" ht="51.95" customHeight="1">
      <c r="A683" s="5">
        <v>0</v>
      </c>
      <c r="B683" s="6" t="s">
        <v>4519</v>
      </c>
      <c r="C683" s="13">
        <v>714.9</v>
      </c>
      <c r="D683" s="8" t="s">
        <v>4520</v>
      </c>
      <c r="E683" s="8" t="s">
        <v>4521</v>
      </c>
      <c r="F683" s="8" t="s">
        <v>4522</v>
      </c>
      <c r="G683" s="6" t="s">
        <v>52</v>
      </c>
      <c r="H683" s="6" t="s">
        <v>122</v>
      </c>
      <c r="I683" s="8" t="s">
        <v>62</v>
      </c>
      <c r="J683" s="9">
        <v>1</v>
      </c>
      <c r="K683" s="9">
        <v>207</v>
      </c>
      <c r="L683" s="9">
        <v>2020</v>
      </c>
      <c r="M683" s="8" t="s">
        <v>4523</v>
      </c>
      <c r="N683" s="8" t="s">
        <v>41</v>
      </c>
      <c r="O683" s="8" t="s">
        <v>54</v>
      </c>
      <c r="P683" s="6" t="s">
        <v>65</v>
      </c>
      <c r="Q683" s="8" t="s">
        <v>66</v>
      </c>
      <c r="R683" s="10" t="s">
        <v>4524</v>
      </c>
      <c r="S683" s="11"/>
      <c r="T683" s="6"/>
      <c r="U683" s="28" t="str">
        <f>HYPERLINK("https://media.infra-m.ru/1045/1045803/cover/1045803.jpg", "Обложка")</f>
        <v>Обложка</v>
      </c>
      <c r="V683" s="28" t="str">
        <f>HYPERLINK("https://znanium.com/catalog/product/907587", "Ознакомиться")</f>
        <v>Ознакомиться</v>
      </c>
      <c r="W683" s="8" t="s">
        <v>4525</v>
      </c>
      <c r="X683" s="6"/>
      <c r="Y683" s="6"/>
      <c r="Z683" s="6"/>
      <c r="AA683" s="6" t="s">
        <v>91</v>
      </c>
    </row>
    <row r="684" spans="1:27" s="4" customFormat="1" ht="51.95" customHeight="1">
      <c r="A684" s="5">
        <v>0</v>
      </c>
      <c r="B684" s="6" t="s">
        <v>4526</v>
      </c>
      <c r="C684" s="7">
        <v>1224.9000000000001</v>
      </c>
      <c r="D684" s="8" t="s">
        <v>4527</v>
      </c>
      <c r="E684" s="8" t="s">
        <v>4528</v>
      </c>
      <c r="F684" s="8" t="s">
        <v>4529</v>
      </c>
      <c r="G684" s="6" t="s">
        <v>52</v>
      </c>
      <c r="H684" s="6" t="s">
        <v>38</v>
      </c>
      <c r="I684" s="8" t="s">
        <v>62</v>
      </c>
      <c r="J684" s="9">
        <v>1</v>
      </c>
      <c r="K684" s="9">
        <v>272</v>
      </c>
      <c r="L684" s="9">
        <v>2023</v>
      </c>
      <c r="M684" s="8" t="s">
        <v>4530</v>
      </c>
      <c r="N684" s="8" t="s">
        <v>41</v>
      </c>
      <c r="O684" s="8" t="s">
        <v>54</v>
      </c>
      <c r="P684" s="6" t="s">
        <v>65</v>
      </c>
      <c r="Q684" s="8" t="s">
        <v>66</v>
      </c>
      <c r="R684" s="10" t="s">
        <v>1280</v>
      </c>
      <c r="S684" s="11" t="s">
        <v>3599</v>
      </c>
      <c r="T684" s="6"/>
      <c r="U684" s="28" t="str">
        <f>HYPERLINK("https://media.infra-m.ru/1996/1996454/cover/1996454.jpg", "Обложка")</f>
        <v>Обложка</v>
      </c>
      <c r="V684" s="28" t="str">
        <f>HYPERLINK("https://znanium.com/catalog/product/1045602", "Ознакомиться")</f>
        <v>Ознакомиться</v>
      </c>
      <c r="W684" s="8" t="s">
        <v>4531</v>
      </c>
      <c r="X684" s="6"/>
      <c r="Y684" s="6"/>
      <c r="Z684" s="6"/>
      <c r="AA684" s="6" t="s">
        <v>1579</v>
      </c>
    </row>
    <row r="685" spans="1:27" s="4" customFormat="1" ht="51.95" customHeight="1">
      <c r="A685" s="5">
        <v>0</v>
      </c>
      <c r="B685" s="6" t="s">
        <v>4532</v>
      </c>
      <c r="C685" s="13">
        <v>220</v>
      </c>
      <c r="D685" s="8" t="s">
        <v>4533</v>
      </c>
      <c r="E685" s="8" t="s">
        <v>4534</v>
      </c>
      <c r="F685" s="8" t="s">
        <v>2785</v>
      </c>
      <c r="G685" s="6" t="s">
        <v>52</v>
      </c>
      <c r="H685" s="6" t="s">
        <v>122</v>
      </c>
      <c r="I685" s="8" t="s">
        <v>490</v>
      </c>
      <c r="J685" s="9">
        <v>1</v>
      </c>
      <c r="K685" s="9">
        <v>48</v>
      </c>
      <c r="L685" s="9">
        <v>2023</v>
      </c>
      <c r="M685" s="8" t="s">
        <v>4535</v>
      </c>
      <c r="N685" s="8" t="s">
        <v>41</v>
      </c>
      <c r="O685" s="8" t="s">
        <v>54</v>
      </c>
      <c r="P685" s="6" t="s">
        <v>65</v>
      </c>
      <c r="Q685" s="8" t="s">
        <v>66</v>
      </c>
      <c r="R685" s="10" t="s">
        <v>4536</v>
      </c>
      <c r="S685" s="11"/>
      <c r="T685" s="6"/>
      <c r="U685" s="28" t="str">
        <f>HYPERLINK("https://media.infra-m.ru/1918/1918517/cover/1918517.jpg", "Обложка")</f>
        <v>Обложка</v>
      </c>
      <c r="V685" s="28" t="str">
        <f>HYPERLINK("https://znanium.com/catalog/product/1918517", "Ознакомиться")</f>
        <v>Ознакомиться</v>
      </c>
      <c r="W685" s="8" t="s">
        <v>1317</v>
      </c>
      <c r="X685" s="6"/>
      <c r="Y685" s="6"/>
      <c r="Z685" s="6"/>
      <c r="AA685" s="6" t="s">
        <v>493</v>
      </c>
    </row>
    <row r="686" spans="1:27" s="4" customFormat="1" ht="21.95" customHeight="1">
      <c r="A686" s="5">
        <v>0</v>
      </c>
      <c r="B686" s="6" t="s">
        <v>4537</v>
      </c>
      <c r="C686" s="13">
        <v>84.9</v>
      </c>
      <c r="D686" s="8" t="s">
        <v>4538</v>
      </c>
      <c r="E686" s="8" t="s">
        <v>4534</v>
      </c>
      <c r="F686" s="8" t="s">
        <v>390</v>
      </c>
      <c r="G686" s="6" t="s">
        <v>52</v>
      </c>
      <c r="H686" s="6" t="s">
        <v>122</v>
      </c>
      <c r="I686" s="8" t="s">
        <v>197</v>
      </c>
      <c r="J686" s="9">
        <v>720</v>
      </c>
      <c r="K686" s="9">
        <v>65</v>
      </c>
      <c r="L686" s="9">
        <v>2018</v>
      </c>
      <c r="M686" s="8" t="s">
        <v>4539</v>
      </c>
      <c r="N686" s="8" t="s">
        <v>41</v>
      </c>
      <c r="O686" s="8" t="s">
        <v>54</v>
      </c>
      <c r="P686" s="6" t="s">
        <v>199</v>
      </c>
      <c r="Q686" s="8" t="s">
        <v>66</v>
      </c>
      <c r="R686" s="10"/>
      <c r="S686" s="11"/>
      <c r="T686" s="6"/>
      <c r="U686" s="12"/>
      <c r="V686" s="12"/>
      <c r="W686" s="8"/>
      <c r="X686" s="6"/>
      <c r="Y686" s="6"/>
      <c r="Z686" s="6"/>
      <c r="AA686" s="6" t="s">
        <v>392</v>
      </c>
    </row>
    <row r="687" spans="1:27" s="4" customFormat="1" ht="51.95" customHeight="1">
      <c r="A687" s="5">
        <v>0</v>
      </c>
      <c r="B687" s="6" t="s">
        <v>4540</v>
      </c>
      <c r="C687" s="13">
        <v>994.9</v>
      </c>
      <c r="D687" s="8" t="s">
        <v>4541</v>
      </c>
      <c r="E687" s="8" t="s">
        <v>4542</v>
      </c>
      <c r="F687" s="8" t="s">
        <v>4543</v>
      </c>
      <c r="G687" s="6" t="s">
        <v>37</v>
      </c>
      <c r="H687" s="6" t="s">
        <v>38</v>
      </c>
      <c r="I687" s="8" t="s">
        <v>62</v>
      </c>
      <c r="J687" s="9">
        <v>1</v>
      </c>
      <c r="K687" s="9">
        <v>221</v>
      </c>
      <c r="L687" s="9">
        <v>2023</v>
      </c>
      <c r="M687" s="8" t="s">
        <v>4544</v>
      </c>
      <c r="N687" s="8" t="s">
        <v>41</v>
      </c>
      <c r="O687" s="8" t="s">
        <v>54</v>
      </c>
      <c r="P687" s="6" t="s">
        <v>85</v>
      </c>
      <c r="Q687" s="8" t="s">
        <v>66</v>
      </c>
      <c r="R687" s="10" t="s">
        <v>4545</v>
      </c>
      <c r="S687" s="11" t="s">
        <v>4546</v>
      </c>
      <c r="T687" s="6"/>
      <c r="U687" s="28" t="str">
        <f>HYPERLINK("https://media.infra-m.ru/2006/2006920/cover/2006920.jpg", "Обложка")</f>
        <v>Обложка</v>
      </c>
      <c r="V687" s="28" t="str">
        <f>HYPERLINK("https://znanium.com/catalog/product/1096421", "Ознакомиться")</f>
        <v>Ознакомиться</v>
      </c>
      <c r="W687" s="8" t="s">
        <v>4547</v>
      </c>
      <c r="X687" s="6"/>
      <c r="Y687" s="6"/>
      <c r="Z687" s="6"/>
      <c r="AA687" s="6" t="s">
        <v>1268</v>
      </c>
    </row>
    <row r="688" spans="1:27" s="4" customFormat="1" ht="51.95" customHeight="1">
      <c r="A688" s="5">
        <v>0</v>
      </c>
      <c r="B688" s="6" t="s">
        <v>4548</v>
      </c>
      <c r="C688" s="13">
        <v>700</v>
      </c>
      <c r="D688" s="8" t="s">
        <v>4549</v>
      </c>
      <c r="E688" s="8" t="s">
        <v>4550</v>
      </c>
      <c r="F688" s="8" t="s">
        <v>4543</v>
      </c>
      <c r="G688" s="6" t="s">
        <v>121</v>
      </c>
      <c r="H688" s="6" t="s">
        <v>38</v>
      </c>
      <c r="I688" s="8" t="s">
        <v>62</v>
      </c>
      <c r="J688" s="9">
        <v>1</v>
      </c>
      <c r="K688" s="9">
        <v>216</v>
      </c>
      <c r="L688" s="9">
        <v>2019</v>
      </c>
      <c r="M688" s="8" t="s">
        <v>4551</v>
      </c>
      <c r="N688" s="8" t="s">
        <v>41</v>
      </c>
      <c r="O688" s="8" t="s">
        <v>54</v>
      </c>
      <c r="P688" s="6" t="s">
        <v>85</v>
      </c>
      <c r="Q688" s="8" t="s">
        <v>66</v>
      </c>
      <c r="R688" s="10" t="s">
        <v>4545</v>
      </c>
      <c r="S688" s="11" t="s">
        <v>4546</v>
      </c>
      <c r="T688" s="6"/>
      <c r="U688" s="28" t="str">
        <f>HYPERLINK("https://media.infra-m.ru/0945/0945612/cover/945612.jpg", "Обложка")</f>
        <v>Обложка</v>
      </c>
      <c r="V688" s="28" t="str">
        <f>HYPERLINK("https://znanium.com/catalog/product/1096421", "Ознакомиться")</f>
        <v>Ознакомиться</v>
      </c>
      <c r="W688" s="8" t="s">
        <v>4547</v>
      </c>
      <c r="X688" s="6"/>
      <c r="Y688" s="6"/>
      <c r="Z688" s="6"/>
      <c r="AA688" s="6" t="s">
        <v>193</v>
      </c>
    </row>
    <row r="689" spans="1:27" s="4" customFormat="1" ht="51.95" customHeight="1">
      <c r="A689" s="5">
        <v>0</v>
      </c>
      <c r="B689" s="6" t="s">
        <v>4552</v>
      </c>
      <c r="C689" s="7">
        <v>1250</v>
      </c>
      <c r="D689" s="8" t="s">
        <v>4553</v>
      </c>
      <c r="E689" s="8" t="s">
        <v>4554</v>
      </c>
      <c r="F689" s="8" t="s">
        <v>4555</v>
      </c>
      <c r="G689" s="6" t="s">
        <v>121</v>
      </c>
      <c r="H689" s="6" t="s">
        <v>38</v>
      </c>
      <c r="I689" s="8" t="s">
        <v>62</v>
      </c>
      <c r="J689" s="9">
        <v>1</v>
      </c>
      <c r="K689" s="9">
        <v>236</v>
      </c>
      <c r="L689" s="9">
        <v>2023</v>
      </c>
      <c r="M689" s="8" t="s">
        <v>4556</v>
      </c>
      <c r="N689" s="8" t="s">
        <v>41</v>
      </c>
      <c r="O689" s="8" t="s">
        <v>54</v>
      </c>
      <c r="P689" s="6" t="s">
        <v>65</v>
      </c>
      <c r="Q689" s="8" t="s">
        <v>66</v>
      </c>
      <c r="R689" s="10" t="s">
        <v>4557</v>
      </c>
      <c r="S689" s="11"/>
      <c r="T689" s="6" t="s">
        <v>89</v>
      </c>
      <c r="U689" s="28" t="str">
        <f>HYPERLINK("https://media.infra-m.ru/1732/1732940/cover/1732940.jpg", "Обложка")</f>
        <v>Обложка</v>
      </c>
      <c r="V689" s="28" t="str">
        <f>HYPERLINK("https://znanium.com/catalog/product/1732940", "Ознакомиться")</f>
        <v>Ознакомиться</v>
      </c>
      <c r="W689" s="8" t="s">
        <v>4531</v>
      </c>
      <c r="X689" s="6" t="s">
        <v>628</v>
      </c>
      <c r="Y689" s="6"/>
      <c r="Z689" s="6"/>
      <c r="AA689" s="6" t="s">
        <v>574</v>
      </c>
    </row>
    <row r="690" spans="1:27" s="4" customFormat="1" ht="51.95" customHeight="1">
      <c r="A690" s="5">
        <v>0</v>
      </c>
      <c r="B690" s="6" t="s">
        <v>4558</v>
      </c>
      <c r="C690" s="7">
        <v>1784</v>
      </c>
      <c r="D690" s="8" t="s">
        <v>4559</v>
      </c>
      <c r="E690" s="8" t="s">
        <v>4560</v>
      </c>
      <c r="F690" s="8" t="s">
        <v>4561</v>
      </c>
      <c r="G690" s="6" t="s">
        <v>37</v>
      </c>
      <c r="H690" s="6" t="s">
        <v>264</v>
      </c>
      <c r="I690" s="8"/>
      <c r="J690" s="9">
        <v>1</v>
      </c>
      <c r="K690" s="9">
        <v>389</v>
      </c>
      <c r="L690" s="9">
        <v>2024</v>
      </c>
      <c r="M690" s="8" t="s">
        <v>4562</v>
      </c>
      <c r="N690" s="8" t="s">
        <v>41</v>
      </c>
      <c r="O690" s="8" t="s">
        <v>54</v>
      </c>
      <c r="P690" s="6" t="s">
        <v>65</v>
      </c>
      <c r="Q690" s="8" t="s">
        <v>66</v>
      </c>
      <c r="R690" s="10" t="s">
        <v>1814</v>
      </c>
      <c r="S690" s="11" t="s">
        <v>4563</v>
      </c>
      <c r="T690" s="6"/>
      <c r="U690" s="28" t="str">
        <f>HYPERLINK("https://media.infra-m.ru/2112/2112446/cover/2112446.jpg", "Обложка")</f>
        <v>Обложка</v>
      </c>
      <c r="V690" s="28" t="str">
        <f>HYPERLINK("https://znanium.com/catalog/product/2056791", "Ознакомиться")</f>
        <v>Ознакомиться</v>
      </c>
      <c r="W690" s="8" t="s">
        <v>1001</v>
      </c>
      <c r="X690" s="6"/>
      <c r="Y690" s="6"/>
      <c r="Z690" s="6"/>
      <c r="AA690" s="6" t="s">
        <v>2540</v>
      </c>
    </row>
    <row r="691" spans="1:27" s="4" customFormat="1" ht="51.95" customHeight="1">
      <c r="A691" s="5">
        <v>0</v>
      </c>
      <c r="B691" s="6" t="s">
        <v>4564</v>
      </c>
      <c r="C691" s="13">
        <v>860</v>
      </c>
      <c r="D691" s="8" t="s">
        <v>4565</v>
      </c>
      <c r="E691" s="8" t="s">
        <v>4566</v>
      </c>
      <c r="F691" s="8" t="s">
        <v>4567</v>
      </c>
      <c r="G691" s="6" t="s">
        <v>37</v>
      </c>
      <c r="H691" s="6" t="s">
        <v>264</v>
      </c>
      <c r="I691" s="8"/>
      <c r="J691" s="9">
        <v>1</v>
      </c>
      <c r="K691" s="9">
        <v>190</v>
      </c>
      <c r="L691" s="9">
        <v>2023</v>
      </c>
      <c r="M691" s="8" t="s">
        <v>4568</v>
      </c>
      <c r="N691" s="8" t="s">
        <v>41</v>
      </c>
      <c r="O691" s="8" t="s">
        <v>54</v>
      </c>
      <c r="P691" s="6" t="s">
        <v>1293</v>
      </c>
      <c r="Q691" s="8" t="s">
        <v>66</v>
      </c>
      <c r="R691" s="10" t="s">
        <v>4569</v>
      </c>
      <c r="S691" s="11"/>
      <c r="T691" s="6"/>
      <c r="U691" s="28" t="str">
        <f>HYPERLINK("https://media.infra-m.ru/1920/1920327/cover/1920327.jpg", "Обложка")</f>
        <v>Обложка</v>
      </c>
      <c r="V691" s="28" t="str">
        <f>HYPERLINK("https://znanium.com/catalog/product/1920327", "Ознакомиться")</f>
        <v>Ознакомиться</v>
      </c>
      <c r="W691" s="8" t="s">
        <v>1001</v>
      </c>
      <c r="X691" s="6"/>
      <c r="Y691" s="6"/>
      <c r="Z691" s="6"/>
      <c r="AA691" s="6" t="s">
        <v>872</v>
      </c>
    </row>
    <row r="692" spans="1:27" s="4" customFormat="1" ht="51.95" customHeight="1">
      <c r="A692" s="5">
        <v>0</v>
      </c>
      <c r="B692" s="6" t="s">
        <v>4570</v>
      </c>
      <c r="C692" s="7">
        <v>1920</v>
      </c>
      <c r="D692" s="8" t="s">
        <v>4571</v>
      </c>
      <c r="E692" s="8" t="s">
        <v>4572</v>
      </c>
      <c r="F692" s="8" t="s">
        <v>4573</v>
      </c>
      <c r="G692" s="6" t="s">
        <v>121</v>
      </c>
      <c r="H692" s="6" t="s">
        <v>264</v>
      </c>
      <c r="I692" s="8" t="s">
        <v>130</v>
      </c>
      <c r="J692" s="9">
        <v>1</v>
      </c>
      <c r="K692" s="9">
        <v>416</v>
      </c>
      <c r="L692" s="9">
        <v>2024</v>
      </c>
      <c r="M692" s="8" t="s">
        <v>4574</v>
      </c>
      <c r="N692" s="8" t="s">
        <v>41</v>
      </c>
      <c r="O692" s="8" t="s">
        <v>54</v>
      </c>
      <c r="P692" s="6" t="s">
        <v>65</v>
      </c>
      <c r="Q692" s="8" t="s">
        <v>66</v>
      </c>
      <c r="R692" s="10" t="s">
        <v>1280</v>
      </c>
      <c r="S692" s="11" t="s">
        <v>4575</v>
      </c>
      <c r="T692" s="6" t="s">
        <v>89</v>
      </c>
      <c r="U692" s="28" t="str">
        <f>HYPERLINK("https://media.infra-m.ru/2079/2079319/cover/2079319.jpg", "Обложка")</f>
        <v>Обложка</v>
      </c>
      <c r="V692" s="28" t="str">
        <f>HYPERLINK("https://znanium.com/catalog/product/2079319", "Ознакомиться")</f>
        <v>Ознакомиться</v>
      </c>
      <c r="W692" s="8" t="s">
        <v>1001</v>
      </c>
      <c r="X692" s="6"/>
      <c r="Y692" s="6"/>
      <c r="Z692" s="6"/>
      <c r="AA692" s="6" t="s">
        <v>161</v>
      </c>
    </row>
    <row r="693" spans="1:27" s="4" customFormat="1" ht="51.95" customHeight="1">
      <c r="A693" s="5">
        <v>0</v>
      </c>
      <c r="B693" s="6" t="s">
        <v>4576</v>
      </c>
      <c r="C693" s="7">
        <v>1004.9</v>
      </c>
      <c r="D693" s="8" t="s">
        <v>4577</v>
      </c>
      <c r="E693" s="8" t="s">
        <v>4578</v>
      </c>
      <c r="F693" s="8" t="s">
        <v>1774</v>
      </c>
      <c r="G693" s="6" t="s">
        <v>121</v>
      </c>
      <c r="H693" s="6" t="s">
        <v>38</v>
      </c>
      <c r="I693" s="8" t="s">
        <v>130</v>
      </c>
      <c r="J693" s="9">
        <v>1</v>
      </c>
      <c r="K693" s="9">
        <v>224</v>
      </c>
      <c r="L693" s="9">
        <v>2023</v>
      </c>
      <c r="M693" s="8" t="s">
        <v>4579</v>
      </c>
      <c r="N693" s="8" t="s">
        <v>41</v>
      </c>
      <c r="O693" s="8" t="s">
        <v>54</v>
      </c>
      <c r="P693" s="6" t="s">
        <v>65</v>
      </c>
      <c r="Q693" s="8" t="s">
        <v>66</v>
      </c>
      <c r="R693" s="10" t="s">
        <v>4580</v>
      </c>
      <c r="S693" s="11" t="s">
        <v>4581</v>
      </c>
      <c r="T693" s="6"/>
      <c r="U693" s="28" t="str">
        <f>HYPERLINK("https://media.infra-m.ru/1981/1981702/cover/1981702.jpg", "Обложка")</f>
        <v>Обложка</v>
      </c>
      <c r="V693" s="28" t="str">
        <f>HYPERLINK("https://znanium.com/catalog/product/1039180", "Ознакомиться")</f>
        <v>Ознакомиться</v>
      </c>
      <c r="W693" s="8" t="s">
        <v>169</v>
      </c>
      <c r="X693" s="6"/>
      <c r="Y693" s="6"/>
      <c r="Z693" s="6"/>
      <c r="AA693" s="6" t="s">
        <v>161</v>
      </c>
    </row>
    <row r="694" spans="1:27" s="4" customFormat="1" ht="51.95" customHeight="1">
      <c r="A694" s="5">
        <v>0</v>
      </c>
      <c r="B694" s="6" t="s">
        <v>4582</v>
      </c>
      <c r="C694" s="7">
        <v>1160</v>
      </c>
      <c r="D694" s="8" t="s">
        <v>4583</v>
      </c>
      <c r="E694" s="8" t="s">
        <v>4584</v>
      </c>
      <c r="F694" s="8" t="s">
        <v>4585</v>
      </c>
      <c r="G694" s="6" t="s">
        <v>121</v>
      </c>
      <c r="H694" s="6" t="s">
        <v>38</v>
      </c>
      <c r="I694" s="8" t="s">
        <v>62</v>
      </c>
      <c r="J694" s="9">
        <v>1</v>
      </c>
      <c r="K694" s="9">
        <v>396</v>
      </c>
      <c r="L694" s="9">
        <v>2017</v>
      </c>
      <c r="M694" s="8" t="s">
        <v>4586</v>
      </c>
      <c r="N694" s="8" t="s">
        <v>41</v>
      </c>
      <c r="O694" s="8" t="s">
        <v>54</v>
      </c>
      <c r="P694" s="6" t="s">
        <v>65</v>
      </c>
      <c r="Q694" s="8" t="s">
        <v>66</v>
      </c>
      <c r="R694" s="10" t="s">
        <v>4536</v>
      </c>
      <c r="S694" s="11" t="s">
        <v>4587</v>
      </c>
      <c r="T694" s="6"/>
      <c r="U694" s="28" t="str">
        <f>HYPERLINK("https://media.infra-m.ru/0758/0758027/cover/758027.jpg", "Обложка")</f>
        <v>Обложка</v>
      </c>
      <c r="V694" s="28" t="str">
        <f>HYPERLINK("https://znanium.com/catalog/product/975797", "Ознакомиться")</f>
        <v>Ознакомиться</v>
      </c>
      <c r="W694" s="8" t="s">
        <v>4588</v>
      </c>
      <c r="X694" s="6"/>
      <c r="Y694" s="6"/>
      <c r="Z694" s="6"/>
      <c r="AA694" s="6" t="s">
        <v>320</v>
      </c>
    </row>
    <row r="695" spans="1:27" s="4" customFormat="1" ht="51.95" customHeight="1">
      <c r="A695" s="5">
        <v>0</v>
      </c>
      <c r="B695" s="6" t="s">
        <v>4589</v>
      </c>
      <c r="C695" s="13">
        <v>484.9</v>
      </c>
      <c r="D695" s="8" t="s">
        <v>4590</v>
      </c>
      <c r="E695" s="8" t="s">
        <v>4591</v>
      </c>
      <c r="F695" s="8" t="s">
        <v>4592</v>
      </c>
      <c r="G695" s="6" t="s">
        <v>121</v>
      </c>
      <c r="H695" s="6" t="s">
        <v>38</v>
      </c>
      <c r="I695" s="8" t="s">
        <v>62</v>
      </c>
      <c r="J695" s="9">
        <v>1</v>
      </c>
      <c r="K695" s="9">
        <v>128</v>
      </c>
      <c r="L695" s="9">
        <v>2022</v>
      </c>
      <c r="M695" s="8" t="s">
        <v>4593</v>
      </c>
      <c r="N695" s="8" t="s">
        <v>41</v>
      </c>
      <c r="O695" s="8" t="s">
        <v>42</v>
      </c>
      <c r="P695" s="6" t="s">
        <v>85</v>
      </c>
      <c r="Q695" s="8" t="s">
        <v>66</v>
      </c>
      <c r="R695" s="10" t="s">
        <v>4594</v>
      </c>
      <c r="S695" s="11" t="s">
        <v>4595</v>
      </c>
      <c r="T695" s="6"/>
      <c r="U695" s="28" t="str">
        <f>HYPERLINK("https://media.infra-m.ru/1843/1843607/cover/1843607.jpg", "Обложка")</f>
        <v>Обложка</v>
      </c>
      <c r="V695" s="28" t="str">
        <f>HYPERLINK("https://znanium.com/catalog/product/1016319", "Ознакомиться")</f>
        <v>Ознакомиться</v>
      </c>
      <c r="W695" s="8" t="s">
        <v>332</v>
      </c>
      <c r="X695" s="6"/>
      <c r="Y695" s="6"/>
      <c r="Z695" s="6"/>
      <c r="AA695" s="6" t="s">
        <v>47</v>
      </c>
    </row>
    <row r="696" spans="1:27" s="4" customFormat="1" ht="51.95" customHeight="1">
      <c r="A696" s="5">
        <v>0</v>
      </c>
      <c r="B696" s="6" t="s">
        <v>4596</v>
      </c>
      <c r="C696" s="7">
        <v>1364.9</v>
      </c>
      <c r="D696" s="8" t="s">
        <v>4597</v>
      </c>
      <c r="E696" s="8" t="s">
        <v>4598</v>
      </c>
      <c r="F696" s="8" t="s">
        <v>4599</v>
      </c>
      <c r="G696" s="6" t="s">
        <v>121</v>
      </c>
      <c r="H696" s="6" t="s">
        <v>355</v>
      </c>
      <c r="I696" s="8" t="s">
        <v>130</v>
      </c>
      <c r="J696" s="9">
        <v>1</v>
      </c>
      <c r="K696" s="9">
        <v>304</v>
      </c>
      <c r="L696" s="9">
        <v>2023</v>
      </c>
      <c r="M696" s="8" t="s">
        <v>4600</v>
      </c>
      <c r="N696" s="8" t="s">
        <v>41</v>
      </c>
      <c r="O696" s="8" t="s">
        <v>54</v>
      </c>
      <c r="P696" s="6" t="s">
        <v>65</v>
      </c>
      <c r="Q696" s="8" t="s">
        <v>66</v>
      </c>
      <c r="R696" s="10" t="s">
        <v>4601</v>
      </c>
      <c r="S696" s="11" t="s">
        <v>4602</v>
      </c>
      <c r="T696" s="6"/>
      <c r="U696" s="28" t="str">
        <f>HYPERLINK("https://media.infra-m.ru/1913/1913684/cover/1913684.jpg", "Обложка")</f>
        <v>Обложка</v>
      </c>
      <c r="V696" s="28" t="str">
        <f>HYPERLINK("https://znanium.com/catalog/product/938037", "Ознакомиться")</f>
        <v>Ознакомиться</v>
      </c>
      <c r="W696" s="8" t="s">
        <v>313</v>
      </c>
      <c r="X696" s="6"/>
      <c r="Y696" s="6"/>
      <c r="Z696" s="6"/>
      <c r="AA696" s="6" t="s">
        <v>70</v>
      </c>
    </row>
    <row r="697" spans="1:27" s="4" customFormat="1" ht="51.95" customHeight="1">
      <c r="A697" s="5">
        <v>0</v>
      </c>
      <c r="B697" s="6" t="s">
        <v>4603</v>
      </c>
      <c r="C697" s="13">
        <v>714</v>
      </c>
      <c r="D697" s="8" t="s">
        <v>4604</v>
      </c>
      <c r="E697" s="8" t="s">
        <v>4605</v>
      </c>
      <c r="F697" s="8" t="s">
        <v>4606</v>
      </c>
      <c r="G697" s="6" t="s">
        <v>121</v>
      </c>
      <c r="H697" s="6" t="s">
        <v>38</v>
      </c>
      <c r="I697" s="8" t="s">
        <v>83</v>
      </c>
      <c r="J697" s="9">
        <v>1</v>
      </c>
      <c r="K697" s="9">
        <v>159</v>
      </c>
      <c r="L697" s="9">
        <v>2023</v>
      </c>
      <c r="M697" s="8" t="s">
        <v>4607</v>
      </c>
      <c r="N697" s="8" t="s">
        <v>41</v>
      </c>
      <c r="O697" s="8" t="s">
        <v>54</v>
      </c>
      <c r="P697" s="6" t="s">
        <v>65</v>
      </c>
      <c r="Q697" s="8" t="s">
        <v>86</v>
      </c>
      <c r="R697" s="10" t="s">
        <v>4608</v>
      </c>
      <c r="S697" s="11"/>
      <c r="T697" s="6"/>
      <c r="U697" s="28" t="str">
        <f>HYPERLINK("https://media.infra-m.ru/1856/1856495/cover/1856495.jpg", "Обложка")</f>
        <v>Обложка</v>
      </c>
      <c r="V697" s="28" t="str">
        <f>HYPERLINK("https://znanium.com/catalog/product/1062336", "Ознакомиться")</f>
        <v>Ознакомиться</v>
      </c>
      <c r="W697" s="8" t="s">
        <v>2384</v>
      </c>
      <c r="X697" s="6"/>
      <c r="Y697" s="6"/>
      <c r="Z697" s="6"/>
      <c r="AA697" s="6" t="s">
        <v>1579</v>
      </c>
    </row>
    <row r="698" spans="1:27" s="4" customFormat="1" ht="51.95" customHeight="1">
      <c r="A698" s="5">
        <v>0</v>
      </c>
      <c r="B698" s="6" t="s">
        <v>4609</v>
      </c>
      <c r="C698" s="7">
        <v>1724</v>
      </c>
      <c r="D698" s="8" t="s">
        <v>4610</v>
      </c>
      <c r="E698" s="8" t="s">
        <v>4611</v>
      </c>
      <c r="F698" s="8" t="s">
        <v>4612</v>
      </c>
      <c r="G698" s="6" t="s">
        <v>121</v>
      </c>
      <c r="H698" s="6" t="s">
        <v>122</v>
      </c>
      <c r="I698" s="8" t="s">
        <v>130</v>
      </c>
      <c r="J698" s="9">
        <v>1</v>
      </c>
      <c r="K698" s="9">
        <v>375</v>
      </c>
      <c r="L698" s="9">
        <v>2023</v>
      </c>
      <c r="M698" s="8" t="s">
        <v>4613</v>
      </c>
      <c r="N698" s="8" t="s">
        <v>41</v>
      </c>
      <c r="O698" s="8" t="s">
        <v>54</v>
      </c>
      <c r="P698" s="6" t="s">
        <v>65</v>
      </c>
      <c r="Q698" s="8" t="s">
        <v>66</v>
      </c>
      <c r="R698" s="10" t="s">
        <v>4119</v>
      </c>
      <c r="S698" s="11" t="s">
        <v>4614</v>
      </c>
      <c r="T698" s="6"/>
      <c r="U698" s="28" t="str">
        <f>HYPERLINK("https://media.infra-m.ru/2051/2051481/cover/2051481.jpg", "Обложка")</f>
        <v>Обложка</v>
      </c>
      <c r="V698" s="12"/>
      <c r="W698" s="8" t="s">
        <v>3935</v>
      </c>
      <c r="X698" s="6"/>
      <c r="Y698" s="6"/>
      <c r="Z698" s="6"/>
      <c r="AA698" s="6" t="s">
        <v>100</v>
      </c>
    </row>
    <row r="699" spans="1:27" s="4" customFormat="1" ht="51.95" customHeight="1">
      <c r="A699" s="5">
        <v>0</v>
      </c>
      <c r="B699" s="6" t="s">
        <v>4615</v>
      </c>
      <c r="C699" s="13">
        <v>394</v>
      </c>
      <c r="D699" s="8" t="s">
        <v>4616</v>
      </c>
      <c r="E699" s="8" t="s">
        <v>4617</v>
      </c>
      <c r="F699" s="8" t="s">
        <v>4618</v>
      </c>
      <c r="G699" s="6" t="s">
        <v>52</v>
      </c>
      <c r="H699" s="6" t="s">
        <v>38</v>
      </c>
      <c r="I699" s="8" t="s">
        <v>62</v>
      </c>
      <c r="J699" s="9">
        <v>1</v>
      </c>
      <c r="K699" s="9">
        <v>84</v>
      </c>
      <c r="L699" s="9">
        <v>2024</v>
      </c>
      <c r="M699" s="8" t="s">
        <v>4619</v>
      </c>
      <c r="N699" s="8" t="s">
        <v>41</v>
      </c>
      <c r="O699" s="8" t="s">
        <v>54</v>
      </c>
      <c r="P699" s="6" t="s">
        <v>65</v>
      </c>
      <c r="Q699" s="8" t="s">
        <v>66</v>
      </c>
      <c r="R699" s="10" t="s">
        <v>3972</v>
      </c>
      <c r="S699" s="11"/>
      <c r="T699" s="6"/>
      <c r="U699" s="28" t="str">
        <f>HYPERLINK("https://media.infra-m.ru/2058/2058787/cover/2058787.jpg", "Обложка")</f>
        <v>Обложка</v>
      </c>
      <c r="V699" s="28" t="str">
        <f>HYPERLINK("https://znanium.com/catalog/product/1836591", "Ознакомиться")</f>
        <v>Ознакомиться</v>
      </c>
      <c r="W699" s="8" t="s">
        <v>143</v>
      </c>
      <c r="X699" s="6"/>
      <c r="Y699" s="6"/>
      <c r="Z699" s="6"/>
      <c r="AA699" s="6" t="s">
        <v>254</v>
      </c>
    </row>
    <row r="700" spans="1:27" s="4" customFormat="1" ht="42" customHeight="1">
      <c r="A700" s="5">
        <v>0</v>
      </c>
      <c r="B700" s="6" t="s">
        <v>4620</v>
      </c>
      <c r="C700" s="7">
        <v>1700</v>
      </c>
      <c r="D700" s="8" t="s">
        <v>4621</v>
      </c>
      <c r="E700" s="8" t="s">
        <v>4622</v>
      </c>
      <c r="F700" s="8" t="s">
        <v>4623</v>
      </c>
      <c r="G700" s="6" t="s">
        <v>37</v>
      </c>
      <c r="H700" s="6" t="s">
        <v>38</v>
      </c>
      <c r="I700" s="8" t="s">
        <v>1102</v>
      </c>
      <c r="J700" s="9">
        <v>1</v>
      </c>
      <c r="K700" s="9">
        <v>405</v>
      </c>
      <c r="L700" s="9">
        <v>2022</v>
      </c>
      <c r="M700" s="8" t="s">
        <v>4624</v>
      </c>
      <c r="N700" s="8" t="s">
        <v>41</v>
      </c>
      <c r="O700" s="8" t="s">
        <v>181</v>
      </c>
      <c r="P700" s="6" t="s">
        <v>43</v>
      </c>
      <c r="Q700" s="8" t="s">
        <v>44</v>
      </c>
      <c r="R700" s="10" t="s">
        <v>4625</v>
      </c>
      <c r="S700" s="11"/>
      <c r="T700" s="6"/>
      <c r="U700" s="28" t="str">
        <f>HYPERLINK("https://media.infra-m.ru/1878/1878593/cover/1878593.jpg", "Обложка")</f>
        <v>Обложка</v>
      </c>
      <c r="V700" s="12"/>
      <c r="W700" s="8" t="s">
        <v>463</v>
      </c>
      <c r="X700" s="6"/>
      <c r="Y700" s="6"/>
      <c r="Z700" s="6"/>
      <c r="AA700" s="6" t="s">
        <v>91</v>
      </c>
    </row>
    <row r="701" spans="1:27" s="15" customFormat="1" ht="21.95" customHeight="1"/>
    <row r="702" spans="1:27" ht="15.95" customHeight="1">
      <c r="A702" s="25" t="s">
        <v>23</v>
      </c>
      <c r="B702" s="25"/>
    </row>
    <row r="703" spans="1:27" s="16" customFormat="1" ht="12.95" customHeight="1"/>
    <row r="704" spans="1:27" s="16" customFormat="1" ht="12.95" customHeight="1">
      <c r="A704" s="26" t="s">
        <v>4626</v>
      </c>
      <c r="B704" s="26"/>
      <c r="C704" s="26" t="s">
        <v>4627</v>
      </c>
      <c r="D704" s="26"/>
      <c r="E704" s="26"/>
    </row>
    <row r="705" spans="1:5" s="16" customFormat="1" ht="12.95" customHeight="1">
      <c r="A705" s="26" t="s">
        <v>4626</v>
      </c>
      <c r="B705" s="26"/>
      <c r="C705" s="26" t="s">
        <v>4627</v>
      </c>
      <c r="D705" s="26"/>
      <c r="E705" s="26"/>
    </row>
    <row r="706" spans="1:5" s="16" customFormat="1" ht="12.95" customHeight="1">
      <c r="A706" s="26" t="s">
        <v>4628</v>
      </c>
      <c r="B706" s="26"/>
      <c r="C706" s="26" t="s">
        <v>4629</v>
      </c>
      <c r="D706" s="26"/>
      <c r="E706" s="26"/>
    </row>
    <row r="707" spans="1:5" s="16" customFormat="1" ht="12.95" customHeight="1">
      <c r="A707" s="26" t="s">
        <v>4630</v>
      </c>
      <c r="B707" s="26"/>
      <c r="C707" s="26" t="s">
        <v>4629</v>
      </c>
      <c r="D707" s="26"/>
      <c r="E707" s="26"/>
    </row>
    <row r="708" spans="1:5" s="16" customFormat="1" ht="12.95" customHeight="1">
      <c r="A708" s="26" t="s">
        <v>201</v>
      </c>
      <c r="B708" s="26"/>
      <c r="C708" s="26" t="s">
        <v>4631</v>
      </c>
      <c r="D708" s="26"/>
      <c r="E708" s="26"/>
    </row>
    <row r="709" spans="1:5" s="16" customFormat="1" ht="12.95" customHeight="1">
      <c r="A709" s="26" t="s">
        <v>222</v>
      </c>
      <c r="B709" s="26"/>
      <c r="C709" s="26" t="s">
        <v>4632</v>
      </c>
      <c r="D709" s="26"/>
      <c r="E709" s="26"/>
    </row>
    <row r="710" spans="1:5" s="16" customFormat="1" ht="12.95" customHeight="1">
      <c r="A710" s="26" t="s">
        <v>4633</v>
      </c>
      <c r="B710" s="26"/>
      <c r="C710" s="26" t="s">
        <v>4634</v>
      </c>
      <c r="D710" s="26"/>
      <c r="E710" s="26"/>
    </row>
    <row r="711" spans="1:5" s="16" customFormat="1" ht="12.95" customHeight="1">
      <c r="A711" s="26" t="s">
        <v>4635</v>
      </c>
      <c r="B711" s="26"/>
      <c r="C711" s="26" t="s">
        <v>4636</v>
      </c>
      <c r="D711" s="26"/>
      <c r="E711" s="26"/>
    </row>
    <row r="712" spans="1:5" s="16" customFormat="1" ht="12.95" customHeight="1">
      <c r="A712" s="26" t="s">
        <v>640</v>
      </c>
      <c r="B712" s="26"/>
      <c r="C712" s="26" t="s">
        <v>4637</v>
      </c>
      <c r="D712" s="26"/>
      <c r="E712" s="26"/>
    </row>
    <row r="713" spans="1:5" s="16" customFormat="1" ht="12.95" customHeight="1">
      <c r="A713" s="26" t="s">
        <v>2619</v>
      </c>
      <c r="B713" s="26"/>
      <c r="C713" s="26" t="s">
        <v>4638</v>
      </c>
      <c r="D713" s="26"/>
      <c r="E713" s="26"/>
    </row>
    <row r="714" spans="1:5" s="16" customFormat="1" ht="12.95" customHeight="1">
      <c r="A714" s="26" t="s">
        <v>4337</v>
      </c>
      <c r="B714" s="26"/>
      <c r="C714" s="26" t="s">
        <v>4639</v>
      </c>
      <c r="D714" s="26"/>
      <c r="E714" s="26"/>
    </row>
    <row r="715" spans="1:5" s="16" customFormat="1" ht="12.95" customHeight="1">
      <c r="A715" s="26" t="s">
        <v>1551</v>
      </c>
      <c r="B715" s="26"/>
      <c r="C715" s="26" t="s">
        <v>4640</v>
      </c>
      <c r="D715" s="26"/>
      <c r="E715" s="26"/>
    </row>
    <row r="716" spans="1:5" s="16" customFormat="1" ht="12.95" customHeight="1">
      <c r="A716" s="26" t="s">
        <v>284</v>
      </c>
      <c r="B716" s="26"/>
      <c r="C716" s="26" t="s">
        <v>4629</v>
      </c>
      <c r="D716" s="26"/>
      <c r="E716" s="26"/>
    </row>
    <row r="717" spans="1:5" s="16" customFormat="1" ht="12.95" customHeight="1">
      <c r="A717" s="26" t="s">
        <v>4641</v>
      </c>
      <c r="B717" s="26"/>
      <c r="C717" s="26" t="s">
        <v>4642</v>
      </c>
      <c r="D717" s="26"/>
      <c r="E717" s="26"/>
    </row>
    <row r="718" spans="1:5" s="16" customFormat="1" ht="12.95" customHeight="1">
      <c r="A718" s="26" t="s">
        <v>4643</v>
      </c>
      <c r="B718" s="26"/>
      <c r="C718" s="26" t="s">
        <v>4631</v>
      </c>
      <c r="D718" s="26"/>
      <c r="E718" s="26"/>
    </row>
    <row r="719" spans="1:5" s="16" customFormat="1" ht="12.95" customHeight="1">
      <c r="A719" s="26" t="s">
        <v>4644</v>
      </c>
      <c r="B719" s="26"/>
      <c r="C719" s="26" t="s">
        <v>4640</v>
      </c>
      <c r="D719" s="26"/>
      <c r="E719" s="26"/>
    </row>
    <row r="720" spans="1:5" s="16" customFormat="1" ht="12.95" customHeight="1">
      <c r="A720" s="26" t="s">
        <v>4645</v>
      </c>
      <c r="B720" s="26"/>
      <c r="C720" s="26" t="s">
        <v>4646</v>
      </c>
      <c r="D720" s="26"/>
      <c r="E720" s="26"/>
    </row>
    <row r="721" spans="1:5" s="16" customFormat="1" ht="12.95" customHeight="1">
      <c r="A721" s="26" t="s">
        <v>4647</v>
      </c>
      <c r="B721" s="26"/>
      <c r="C721" s="26" t="s">
        <v>4648</v>
      </c>
      <c r="D721" s="26"/>
      <c r="E721" s="26"/>
    </row>
    <row r="722" spans="1:5" s="16" customFormat="1" ht="12.95" customHeight="1">
      <c r="A722" s="26" t="s">
        <v>4649</v>
      </c>
      <c r="B722" s="26"/>
      <c r="C722" s="26" t="s">
        <v>4650</v>
      </c>
      <c r="D722" s="26"/>
      <c r="E722" s="26"/>
    </row>
    <row r="723" spans="1:5" s="16" customFormat="1" ht="12.95" customHeight="1">
      <c r="A723" s="26" t="s">
        <v>4651</v>
      </c>
      <c r="B723" s="26"/>
      <c r="C723" s="26" t="s">
        <v>4652</v>
      </c>
      <c r="D723" s="26"/>
      <c r="E723" s="26"/>
    </row>
    <row r="724" spans="1:5" s="16" customFormat="1" ht="12.95" customHeight="1">
      <c r="A724" s="26" t="s">
        <v>4653</v>
      </c>
      <c r="B724" s="26"/>
      <c r="C724" s="26" t="s">
        <v>4654</v>
      </c>
      <c r="D724" s="26"/>
      <c r="E724" s="26"/>
    </row>
    <row r="725" spans="1:5" s="16" customFormat="1" ht="12.95" customHeight="1">
      <c r="A725" s="26" t="s">
        <v>4655</v>
      </c>
      <c r="B725" s="26"/>
      <c r="C725" s="26" t="s">
        <v>4637</v>
      </c>
      <c r="D725" s="26"/>
      <c r="E725" s="26"/>
    </row>
    <row r="726" spans="1:5" s="16" customFormat="1" ht="12.95" customHeight="1">
      <c r="A726" s="26" t="s">
        <v>4656</v>
      </c>
      <c r="B726" s="26"/>
      <c r="C726" s="26" t="s">
        <v>4650</v>
      </c>
      <c r="D726" s="26"/>
      <c r="E726" s="26"/>
    </row>
    <row r="727" spans="1:5" s="16" customFormat="1" ht="12.95" customHeight="1">
      <c r="A727" s="26" t="s">
        <v>1455</v>
      </c>
      <c r="B727" s="26"/>
      <c r="C727" s="26" t="s">
        <v>4657</v>
      </c>
      <c r="D727" s="26"/>
      <c r="E727" s="26"/>
    </row>
    <row r="728" spans="1:5" s="16" customFormat="1" ht="12.95" customHeight="1">
      <c r="A728" s="26" t="s">
        <v>4658</v>
      </c>
      <c r="B728" s="26"/>
      <c r="C728" s="26" t="s">
        <v>4629</v>
      </c>
      <c r="D728" s="26"/>
      <c r="E728" s="26"/>
    </row>
    <row r="729" spans="1:5" s="16" customFormat="1" ht="12.95" customHeight="1">
      <c r="A729" s="26" t="s">
        <v>4659</v>
      </c>
      <c r="B729" s="26"/>
      <c r="C729" s="26" t="s">
        <v>4642</v>
      </c>
      <c r="D729" s="26"/>
      <c r="E729" s="26"/>
    </row>
    <row r="730" spans="1:5" s="16" customFormat="1" ht="12.95" customHeight="1">
      <c r="A730" s="26" t="s">
        <v>4660</v>
      </c>
      <c r="B730" s="26"/>
      <c r="C730" s="26" t="s">
        <v>4631</v>
      </c>
      <c r="D730" s="26"/>
      <c r="E730" s="26"/>
    </row>
    <row r="731" spans="1:5" s="16" customFormat="1" ht="12.95" customHeight="1">
      <c r="A731" s="26" t="s">
        <v>4661</v>
      </c>
      <c r="B731" s="26"/>
      <c r="C731" s="26" t="s">
        <v>4640</v>
      </c>
      <c r="D731" s="26"/>
      <c r="E731" s="26"/>
    </row>
    <row r="732" spans="1:5" s="16" customFormat="1" ht="12.95" customHeight="1">
      <c r="A732" s="26" t="s">
        <v>4662</v>
      </c>
      <c r="B732" s="26"/>
      <c r="C732" s="26" t="s">
        <v>4650</v>
      </c>
      <c r="D732" s="26"/>
      <c r="E732" s="26"/>
    </row>
    <row r="733" spans="1:5" s="16" customFormat="1" ht="12.95" customHeight="1">
      <c r="A733" s="26" t="s">
        <v>2241</v>
      </c>
      <c r="B733" s="26"/>
      <c r="C733" s="26" t="s">
        <v>4663</v>
      </c>
      <c r="D733" s="26"/>
      <c r="E733" s="26"/>
    </row>
    <row r="734" spans="1:5" s="16" customFormat="1" ht="12.95" customHeight="1">
      <c r="A734" s="26" t="s">
        <v>1629</v>
      </c>
      <c r="B734" s="26"/>
      <c r="C734" s="26" t="s">
        <v>4664</v>
      </c>
      <c r="D734" s="26"/>
      <c r="E734" s="26"/>
    </row>
    <row r="735" spans="1:5" s="16" customFormat="1" ht="12.95" customHeight="1">
      <c r="A735" s="26" t="s">
        <v>1629</v>
      </c>
      <c r="B735" s="26"/>
      <c r="C735" s="26" t="s">
        <v>4664</v>
      </c>
      <c r="D735" s="26"/>
      <c r="E735" s="26"/>
    </row>
    <row r="736" spans="1:5" s="16" customFormat="1" ht="12.95" customHeight="1">
      <c r="A736" s="26" t="s">
        <v>1342</v>
      </c>
      <c r="B736" s="26"/>
      <c r="C736" s="26" t="s">
        <v>4631</v>
      </c>
      <c r="D736" s="26"/>
      <c r="E736" s="26"/>
    </row>
    <row r="737" spans="1:5" s="16" customFormat="1" ht="12.95" customHeight="1">
      <c r="A737" s="26" t="s">
        <v>4665</v>
      </c>
      <c r="B737" s="26"/>
      <c r="C737" s="26" t="s">
        <v>4666</v>
      </c>
      <c r="D737" s="26"/>
      <c r="E737" s="26"/>
    </row>
    <row r="738" spans="1:5" s="16" customFormat="1" ht="12.95" customHeight="1">
      <c r="A738" s="26" t="s">
        <v>4667</v>
      </c>
      <c r="B738" s="26"/>
      <c r="C738" s="26" t="s">
        <v>4668</v>
      </c>
      <c r="D738" s="26"/>
      <c r="E738" s="26"/>
    </row>
    <row r="739" spans="1:5" s="16" customFormat="1" ht="12.95" customHeight="1">
      <c r="A739" s="26" t="s">
        <v>3694</v>
      </c>
      <c r="B739" s="26"/>
      <c r="C739" s="26" t="s">
        <v>4669</v>
      </c>
      <c r="D739" s="26"/>
      <c r="E739" s="26"/>
    </row>
    <row r="740" spans="1:5" s="16" customFormat="1" ht="12.95" customHeight="1">
      <c r="A740" s="26" t="s">
        <v>4670</v>
      </c>
      <c r="B740" s="26"/>
      <c r="C740" s="26" t="s">
        <v>4631</v>
      </c>
      <c r="D740" s="26"/>
      <c r="E740" s="26"/>
    </row>
    <row r="741" spans="1:5" s="16" customFormat="1" ht="12.95" customHeight="1">
      <c r="A741" s="26" t="s">
        <v>4671</v>
      </c>
      <c r="B741" s="26"/>
      <c r="C741" s="26" t="s">
        <v>4666</v>
      </c>
      <c r="D741" s="26"/>
      <c r="E741" s="26"/>
    </row>
    <row r="742" spans="1:5" s="16" customFormat="1" ht="12.95" customHeight="1">
      <c r="A742" s="26" t="s">
        <v>4672</v>
      </c>
      <c r="B742" s="26"/>
      <c r="C742" s="26" t="s">
        <v>4668</v>
      </c>
      <c r="D742" s="26"/>
      <c r="E742" s="26"/>
    </row>
    <row r="743" spans="1:5" s="16" customFormat="1" ht="12.95" customHeight="1">
      <c r="A743" s="26" t="s">
        <v>4673</v>
      </c>
      <c r="B743" s="26"/>
      <c r="C743" s="26" t="s">
        <v>4669</v>
      </c>
      <c r="D743" s="26"/>
      <c r="E743" s="26"/>
    </row>
    <row r="744" spans="1:5" s="16" customFormat="1" ht="12.95" customHeight="1">
      <c r="A744" s="26" t="s">
        <v>4674</v>
      </c>
      <c r="B744" s="26"/>
      <c r="C744" s="26" t="s">
        <v>4675</v>
      </c>
      <c r="D744" s="26"/>
      <c r="E744" s="26"/>
    </row>
    <row r="745" spans="1:5" s="16" customFormat="1" ht="12.95" customHeight="1">
      <c r="A745" s="26" t="s">
        <v>4676</v>
      </c>
      <c r="B745" s="26"/>
      <c r="C745" s="26" t="s">
        <v>4677</v>
      </c>
      <c r="D745" s="26"/>
      <c r="E745" s="26"/>
    </row>
    <row r="746" spans="1:5" s="16" customFormat="1" ht="12.95" customHeight="1">
      <c r="A746" s="26" t="s">
        <v>4678</v>
      </c>
      <c r="B746" s="26"/>
      <c r="C746" s="26" t="s">
        <v>4679</v>
      </c>
      <c r="D746" s="26"/>
      <c r="E746" s="26"/>
    </row>
    <row r="747" spans="1:5" s="16" customFormat="1" ht="12.95" customHeight="1">
      <c r="A747" s="26" t="s">
        <v>4680</v>
      </c>
      <c r="B747" s="26"/>
      <c r="C747" s="26" t="s">
        <v>4681</v>
      </c>
      <c r="D747" s="26"/>
      <c r="E747" s="26"/>
    </row>
    <row r="748" spans="1:5" s="16" customFormat="1" ht="12.95" customHeight="1">
      <c r="A748" s="26" t="s">
        <v>4682</v>
      </c>
      <c r="B748" s="26"/>
      <c r="C748" s="26" t="s">
        <v>4683</v>
      </c>
      <c r="D748" s="26"/>
      <c r="E748" s="26"/>
    </row>
    <row r="749" spans="1:5" s="16" customFormat="1" ht="12.95" customHeight="1">
      <c r="A749" s="26" t="s">
        <v>4684</v>
      </c>
      <c r="B749" s="26"/>
      <c r="C749" s="26" t="s">
        <v>4668</v>
      </c>
      <c r="D749" s="26"/>
      <c r="E749" s="26"/>
    </row>
    <row r="750" spans="1:5" s="16" customFormat="1" ht="12.95" customHeight="1">
      <c r="A750" s="26" t="s">
        <v>4685</v>
      </c>
      <c r="B750" s="26"/>
      <c r="C750" s="26" t="s">
        <v>4681</v>
      </c>
      <c r="D750" s="26"/>
      <c r="E750" s="26"/>
    </row>
    <row r="751" spans="1:5" s="16" customFormat="1" ht="12.95" customHeight="1">
      <c r="A751" s="26" t="s">
        <v>4686</v>
      </c>
      <c r="B751" s="26"/>
      <c r="C751" s="26" t="s">
        <v>4683</v>
      </c>
      <c r="D751" s="26"/>
      <c r="E751" s="26"/>
    </row>
    <row r="752" spans="1:5" s="16" customFormat="1" ht="12.95" customHeight="1">
      <c r="A752" s="26" t="s">
        <v>4687</v>
      </c>
      <c r="B752" s="26"/>
      <c r="C752" s="26" t="s">
        <v>4688</v>
      </c>
      <c r="D752" s="26"/>
      <c r="E752" s="26"/>
    </row>
    <row r="753" spans="1:5" s="16" customFormat="1" ht="12.95" customHeight="1">
      <c r="A753" s="26" t="s">
        <v>4689</v>
      </c>
      <c r="B753" s="26"/>
      <c r="C753" s="26" t="s">
        <v>4690</v>
      </c>
      <c r="D753" s="26"/>
      <c r="E753" s="26"/>
    </row>
    <row r="754" spans="1:5" s="16" customFormat="1" ht="12.95" customHeight="1">
      <c r="A754" s="26" t="s">
        <v>4691</v>
      </c>
      <c r="B754" s="26"/>
      <c r="C754" s="26" t="s">
        <v>4690</v>
      </c>
      <c r="D754" s="26"/>
      <c r="E754" s="26"/>
    </row>
    <row r="755" spans="1:5" s="16" customFormat="1" ht="12.95" customHeight="1">
      <c r="A755" s="26" t="s">
        <v>4692</v>
      </c>
      <c r="B755" s="26"/>
      <c r="C755" s="26" t="s">
        <v>4693</v>
      </c>
      <c r="D755" s="26"/>
      <c r="E755" s="26"/>
    </row>
    <row r="756" spans="1:5" s="16" customFormat="1" ht="12.95" customHeight="1">
      <c r="A756" s="26" t="s">
        <v>4694</v>
      </c>
      <c r="B756" s="26"/>
      <c r="C756" s="26" t="s">
        <v>4695</v>
      </c>
      <c r="D756" s="26"/>
      <c r="E756" s="26"/>
    </row>
    <row r="757" spans="1:5" s="16" customFormat="1" ht="12.95" customHeight="1">
      <c r="A757" s="26" t="s">
        <v>4696</v>
      </c>
      <c r="B757" s="26"/>
      <c r="C757" s="26" t="s">
        <v>4666</v>
      </c>
      <c r="D757" s="26"/>
      <c r="E757" s="26"/>
    </row>
    <row r="758" spans="1:5" s="16" customFormat="1" ht="12.95" customHeight="1">
      <c r="A758" s="26" t="s">
        <v>4697</v>
      </c>
      <c r="B758" s="26"/>
      <c r="C758" s="26" t="s">
        <v>4668</v>
      </c>
      <c r="D758" s="26"/>
      <c r="E758" s="26"/>
    </row>
    <row r="759" spans="1:5" s="16" customFormat="1" ht="12.95" customHeight="1">
      <c r="A759" s="26" t="s">
        <v>4698</v>
      </c>
      <c r="B759" s="26"/>
      <c r="C759" s="26" t="s">
        <v>4695</v>
      </c>
      <c r="D759" s="26"/>
      <c r="E759" s="26"/>
    </row>
    <row r="760" spans="1:5" s="16" customFormat="1" ht="12.95" customHeight="1">
      <c r="A760" s="26" t="s">
        <v>4699</v>
      </c>
      <c r="B760" s="26"/>
      <c r="C760" s="26" t="s">
        <v>4637</v>
      </c>
      <c r="D760" s="26"/>
      <c r="E760" s="26"/>
    </row>
    <row r="761" spans="1:5" s="16" customFormat="1" ht="12.95" customHeight="1">
      <c r="A761" s="26" t="s">
        <v>4700</v>
      </c>
      <c r="B761" s="26"/>
      <c r="C761" s="26" t="s">
        <v>4701</v>
      </c>
      <c r="D761" s="26"/>
      <c r="E761" s="26"/>
    </row>
    <row r="762" spans="1:5" s="16" customFormat="1" ht="12.95" customHeight="1">
      <c r="A762" s="26" t="s">
        <v>4702</v>
      </c>
      <c r="B762" s="26"/>
      <c r="C762" s="26" t="s">
        <v>4632</v>
      </c>
      <c r="D762" s="26"/>
      <c r="E762" s="26"/>
    </row>
    <row r="763" spans="1:5" s="16" customFormat="1" ht="12.95" customHeight="1">
      <c r="A763" s="26" t="s">
        <v>4703</v>
      </c>
      <c r="B763" s="26"/>
      <c r="C763" s="26" t="s">
        <v>4704</v>
      </c>
      <c r="D763" s="26"/>
      <c r="E763" s="26"/>
    </row>
    <row r="764" spans="1:5" s="16" customFormat="1" ht="12.95" customHeight="1">
      <c r="A764" s="26" t="s">
        <v>2081</v>
      </c>
      <c r="B764" s="26"/>
      <c r="C764" s="26" t="s">
        <v>4705</v>
      </c>
      <c r="D764" s="26"/>
      <c r="E764" s="26"/>
    </row>
    <row r="765" spans="1:5" s="16" customFormat="1" ht="12.95" customHeight="1">
      <c r="A765" s="26" t="s">
        <v>4706</v>
      </c>
      <c r="B765" s="26"/>
      <c r="C765" s="26" t="s">
        <v>4205</v>
      </c>
      <c r="D765" s="26"/>
      <c r="E765" s="26"/>
    </row>
    <row r="766" spans="1:5" s="16" customFormat="1" ht="12.95" customHeight="1">
      <c r="A766" s="26" t="s">
        <v>4707</v>
      </c>
      <c r="B766" s="26"/>
      <c r="C766" s="26" t="s">
        <v>4708</v>
      </c>
      <c r="D766" s="26"/>
      <c r="E766" s="26"/>
    </row>
    <row r="767" spans="1:5" s="16" customFormat="1" ht="12.95" customHeight="1">
      <c r="A767" s="26" t="s">
        <v>1123</v>
      </c>
      <c r="B767" s="26"/>
      <c r="C767" s="26" t="s">
        <v>4709</v>
      </c>
      <c r="D767" s="26"/>
      <c r="E767" s="26"/>
    </row>
    <row r="768" spans="1:5" s="16" customFormat="1" ht="12.95" customHeight="1">
      <c r="A768" s="26" t="s">
        <v>4710</v>
      </c>
      <c r="B768" s="26"/>
      <c r="C768" s="26" t="s">
        <v>4708</v>
      </c>
      <c r="D768" s="26"/>
      <c r="E768" s="26"/>
    </row>
    <row r="769" spans="1:5" s="16" customFormat="1" ht="12.95" customHeight="1">
      <c r="A769" s="26" t="s">
        <v>4711</v>
      </c>
      <c r="B769" s="26"/>
      <c r="C769" s="26" t="s">
        <v>4709</v>
      </c>
      <c r="D769" s="26"/>
      <c r="E769" s="26"/>
    </row>
    <row r="770" spans="1:5" s="16" customFormat="1" ht="12.95" customHeight="1">
      <c r="A770" s="26" t="s">
        <v>4712</v>
      </c>
      <c r="B770" s="26"/>
      <c r="C770" s="26" t="s">
        <v>4713</v>
      </c>
      <c r="D770" s="26"/>
      <c r="E770" s="26"/>
    </row>
    <row r="771" spans="1:5" s="16" customFormat="1" ht="12.95" customHeight="1">
      <c r="A771" s="26" t="s">
        <v>4714</v>
      </c>
      <c r="B771" s="26"/>
      <c r="C771" s="26" t="s">
        <v>97</v>
      </c>
      <c r="D771" s="26"/>
      <c r="E771" s="26"/>
    </row>
    <row r="772" spans="1:5" s="16" customFormat="1" ht="12.95" customHeight="1">
      <c r="A772" s="26" t="s">
        <v>4715</v>
      </c>
      <c r="B772" s="26"/>
      <c r="C772" s="26" t="s">
        <v>97</v>
      </c>
      <c r="D772" s="26"/>
      <c r="E772" s="26"/>
    </row>
    <row r="773" spans="1:5" s="16" customFormat="1" ht="12.95" customHeight="1">
      <c r="A773" s="26" t="s">
        <v>4716</v>
      </c>
      <c r="B773" s="26"/>
      <c r="C773" s="26" t="s">
        <v>2245</v>
      </c>
      <c r="D773" s="26"/>
      <c r="E773" s="26"/>
    </row>
    <row r="774" spans="1:5" s="16" customFormat="1" ht="12.95" customHeight="1">
      <c r="A774" s="26" t="s">
        <v>4716</v>
      </c>
      <c r="B774" s="26"/>
      <c r="C774" s="26" t="s">
        <v>2245</v>
      </c>
      <c r="D774" s="26"/>
      <c r="E774" s="26"/>
    </row>
    <row r="775" spans="1:5" s="16" customFormat="1" ht="12.95" customHeight="1">
      <c r="A775" s="26" t="s">
        <v>4717</v>
      </c>
      <c r="B775" s="26"/>
      <c r="C775" s="26" t="s">
        <v>4718</v>
      </c>
      <c r="D775" s="26"/>
      <c r="E775" s="26"/>
    </row>
    <row r="776" spans="1:5" s="16" customFormat="1" ht="12.95" customHeight="1">
      <c r="A776" s="26" t="s">
        <v>4719</v>
      </c>
      <c r="B776" s="26"/>
      <c r="C776" s="26" t="s">
        <v>4720</v>
      </c>
      <c r="D776" s="26"/>
      <c r="E776" s="26"/>
    </row>
    <row r="777" spans="1:5" s="16" customFormat="1" ht="12.95" customHeight="1">
      <c r="A777" s="26" t="s">
        <v>4721</v>
      </c>
      <c r="B777" s="26"/>
      <c r="C777" s="26" t="s">
        <v>4722</v>
      </c>
      <c r="D777" s="26"/>
      <c r="E777" s="26"/>
    </row>
    <row r="778" spans="1:5" s="16" customFormat="1" ht="12.95" customHeight="1">
      <c r="A778" s="26" t="s">
        <v>4723</v>
      </c>
      <c r="B778" s="26"/>
      <c r="C778" s="26" t="s">
        <v>4724</v>
      </c>
      <c r="D778" s="26"/>
      <c r="E778" s="26"/>
    </row>
    <row r="779" spans="1:5" s="16" customFormat="1" ht="12.95" customHeight="1">
      <c r="A779" s="26" t="s">
        <v>1599</v>
      </c>
      <c r="B779" s="26"/>
      <c r="C779" s="26" t="s">
        <v>4725</v>
      </c>
      <c r="D779" s="26"/>
      <c r="E779" s="26"/>
    </row>
    <row r="780" spans="1:5" s="16" customFormat="1" ht="12.95" customHeight="1">
      <c r="A780" s="26" t="s">
        <v>2685</v>
      </c>
      <c r="B780" s="26"/>
      <c r="C780" s="26" t="s">
        <v>4634</v>
      </c>
      <c r="D780" s="26"/>
      <c r="E780" s="26"/>
    </row>
    <row r="781" spans="1:5" s="16" customFormat="1" ht="12.95" customHeight="1">
      <c r="A781" s="26" t="s">
        <v>4726</v>
      </c>
      <c r="B781" s="26"/>
      <c r="C781" s="26" t="s">
        <v>4727</v>
      </c>
      <c r="D781" s="26"/>
      <c r="E781" s="26"/>
    </row>
    <row r="782" spans="1:5" s="16" customFormat="1" ht="12.95" customHeight="1">
      <c r="A782" s="26" t="s">
        <v>3878</v>
      </c>
      <c r="B782" s="26"/>
      <c r="C782" s="26" t="s">
        <v>4728</v>
      </c>
      <c r="D782" s="26"/>
      <c r="E782" s="26"/>
    </row>
    <row r="783" spans="1:5" s="16" customFormat="1" ht="12.95" customHeight="1">
      <c r="A783" s="26" t="s">
        <v>4729</v>
      </c>
      <c r="B783" s="26"/>
      <c r="C783" s="26" t="s">
        <v>4730</v>
      </c>
      <c r="D783" s="26"/>
      <c r="E783" s="26"/>
    </row>
    <row r="784" spans="1:5" s="16" customFormat="1" ht="12.95" customHeight="1">
      <c r="A784" s="26" t="s">
        <v>76</v>
      </c>
      <c r="B784" s="26"/>
      <c r="C784" s="26" t="s">
        <v>4731</v>
      </c>
      <c r="D784" s="26"/>
      <c r="E784" s="26"/>
    </row>
    <row r="785" spans="1:5" s="16" customFormat="1" ht="12.95" customHeight="1">
      <c r="A785" s="26" t="s">
        <v>928</v>
      </c>
      <c r="B785" s="26"/>
      <c r="C785" s="26" t="s">
        <v>4725</v>
      </c>
      <c r="D785" s="26"/>
      <c r="E785" s="26"/>
    </row>
    <row r="786" spans="1:5" s="16" customFormat="1" ht="12.95" customHeight="1">
      <c r="A786" s="26" t="s">
        <v>1251</v>
      </c>
      <c r="B786" s="26"/>
      <c r="C786" s="26" t="s">
        <v>4634</v>
      </c>
      <c r="D786" s="26"/>
      <c r="E786" s="26"/>
    </row>
    <row r="787" spans="1:5" s="16" customFormat="1" ht="12.95" customHeight="1">
      <c r="A787" s="26" t="s">
        <v>4732</v>
      </c>
      <c r="B787" s="26"/>
      <c r="C787" s="26" t="s">
        <v>4727</v>
      </c>
      <c r="D787" s="26"/>
      <c r="E787" s="26"/>
    </row>
    <row r="788" spans="1:5" s="16" customFormat="1" ht="12.95" customHeight="1">
      <c r="A788" s="26" t="s">
        <v>4733</v>
      </c>
      <c r="B788" s="26"/>
      <c r="C788" s="26" t="s">
        <v>4728</v>
      </c>
      <c r="D788" s="26"/>
      <c r="E788" s="26"/>
    </row>
    <row r="789" spans="1:5" s="16" customFormat="1" ht="12.95" customHeight="1">
      <c r="A789" s="26" t="s">
        <v>4734</v>
      </c>
      <c r="B789" s="26"/>
      <c r="C789" s="26" t="s">
        <v>4730</v>
      </c>
      <c r="D789" s="26"/>
      <c r="E789" s="26"/>
    </row>
    <row r="790" spans="1:5" s="16" customFormat="1" ht="12.95" customHeight="1">
      <c r="A790" s="26" t="s">
        <v>4735</v>
      </c>
      <c r="B790" s="26"/>
      <c r="C790" s="26" t="s">
        <v>4731</v>
      </c>
      <c r="D790" s="26"/>
      <c r="E790" s="26"/>
    </row>
    <row r="791" spans="1:5" s="16" customFormat="1" ht="12.95" customHeight="1">
      <c r="A791" s="26" t="s">
        <v>4736</v>
      </c>
      <c r="B791" s="26"/>
      <c r="C791" s="26" t="s">
        <v>4737</v>
      </c>
      <c r="D791" s="26"/>
      <c r="E791" s="26"/>
    </row>
    <row r="792" spans="1:5" s="16" customFormat="1" ht="12.95" customHeight="1">
      <c r="A792" s="26" t="s">
        <v>4738</v>
      </c>
      <c r="B792" s="26"/>
      <c r="C792" s="26" t="s">
        <v>4739</v>
      </c>
      <c r="D792" s="26"/>
      <c r="E792" s="26"/>
    </row>
    <row r="793" spans="1:5" s="16" customFormat="1" ht="12.95" customHeight="1">
      <c r="A793" s="26" t="s">
        <v>428</v>
      </c>
      <c r="B793" s="26"/>
      <c r="C793" s="26" t="s">
        <v>4740</v>
      </c>
      <c r="D793" s="26"/>
      <c r="E793" s="26"/>
    </row>
    <row r="794" spans="1:5" s="16" customFormat="1" ht="12.95" customHeight="1">
      <c r="A794" s="26" t="s">
        <v>4741</v>
      </c>
      <c r="B794" s="26"/>
      <c r="C794" s="26" t="s">
        <v>4742</v>
      </c>
      <c r="D794" s="26"/>
      <c r="E794" s="26"/>
    </row>
    <row r="795" spans="1:5" s="16" customFormat="1" ht="12.95" customHeight="1">
      <c r="A795" s="26" t="s">
        <v>4743</v>
      </c>
      <c r="B795" s="26"/>
      <c r="C795" s="26" t="s">
        <v>4740</v>
      </c>
      <c r="D795" s="26"/>
      <c r="E795" s="26"/>
    </row>
    <row r="796" spans="1:5" s="16" customFormat="1" ht="12.95" customHeight="1">
      <c r="A796" s="26" t="s">
        <v>4744</v>
      </c>
      <c r="B796" s="26"/>
      <c r="C796" s="26" t="s">
        <v>4742</v>
      </c>
      <c r="D796" s="26"/>
      <c r="E796" s="26"/>
    </row>
    <row r="797" spans="1:5" s="16" customFormat="1" ht="12.95" customHeight="1">
      <c r="A797" s="26" t="s">
        <v>4745</v>
      </c>
      <c r="B797" s="26"/>
      <c r="C797" s="26" t="s">
        <v>4746</v>
      </c>
      <c r="D797" s="26"/>
      <c r="E797" s="26"/>
    </row>
    <row r="798" spans="1:5" s="16" customFormat="1" ht="12.95" customHeight="1">
      <c r="A798" s="26" t="s">
        <v>4747</v>
      </c>
      <c r="B798" s="26"/>
      <c r="C798" s="26" t="s">
        <v>181</v>
      </c>
      <c r="D798" s="26"/>
      <c r="E798" s="26"/>
    </row>
    <row r="799" spans="1:5" s="16" customFormat="1" ht="12.95" customHeight="1">
      <c r="A799" s="26" t="s">
        <v>4748</v>
      </c>
      <c r="B799" s="26"/>
      <c r="C799" s="26" t="s">
        <v>181</v>
      </c>
      <c r="D799" s="26"/>
      <c r="E799" s="26"/>
    </row>
    <row r="800" spans="1:5" s="16" customFormat="1" ht="12.95" customHeight="1">
      <c r="A800" s="26" t="s">
        <v>4749</v>
      </c>
      <c r="B800" s="26"/>
      <c r="C800" s="26" t="s">
        <v>4750</v>
      </c>
      <c r="D800" s="26"/>
      <c r="E800" s="26"/>
    </row>
    <row r="801" spans="1:5" s="16" customFormat="1" ht="12.95" customHeight="1">
      <c r="A801" s="26" t="s">
        <v>2321</v>
      </c>
      <c r="B801" s="26"/>
      <c r="C801" s="26" t="s">
        <v>4751</v>
      </c>
      <c r="D801" s="26"/>
      <c r="E801" s="26"/>
    </row>
    <row r="802" spans="1:5" s="16" customFormat="1" ht="12.95" customHeight="1">
      <c r="A802" s="26" t="s">
        <v>4752</v>
      </c>
      <c r="B802" s="26"/>
      <c r="C802" s="26" t="s">
        <v>4751</v>
      </c>
      <c r="D802" s="26"/>
      <c r="E802" s="26"/>
    </row>
    <row r="803" spans="1:5" s="16" customFormat="1" ht="12.95" customHeight="1">
      <c r="A803" s="26" t="s">
        <v>4753</v>
      </c>
      <c r="B803" s="26"/>
      <c r="C803" s="26" t="s">
        <v>4754</v>
      </c>
      <c r="D803" s="26"/>
      <c r="E803" s="26"/>
    </row>
    <row r="804" spans="1:5" s="16" customFormat="1" ht="12.95" customHeight="1">
      <c r="A804" s="26" t="s">
        <v>4755</v>
      </c>
      <c r="B804" s="26"/>
      <c r="C804" s="26" t="s">
        <v>4756</v>
      </c>
      <c r="D804" s="26"/>
      <c r="E804" s="26"/>
    </row>
    <row r="805" spans="1:5" s="16" customFormat="1" ht="12.95" customHeight="1">
      <c r="A805" s="26" t="s">
        <v>4757</v>
      </c>
      <c r="B805" s="26"/>
      <c r="C805" s="26" t="s">
        <v>4758</v>
      </c>
      <c r="D805" s="26"/>
      <c r="E805" s="26"/>
    </row>
    <row r="806" spans="1:5" s="16" customFormat="1" ht="12.95" customHeight="1">
      <c r="A806" s="26" t="s">
        <v>4759</v>
      </c>
      <c r="B806" s="26"/>
      <c r="C806" s="26" t="s">
        <v>4751</v>
      </c>
      <c r="D806" s="26"/>
      <c r="E806" s="26"/>
    </row>
    <row r="807" spans="1:5" s="16" customFormat="1" ht="12.95" customHeight="1">
      <c r="A807" s="26" t="s">
        <v>4760</v>
      </c>
      <c r="B807" s="26"/>
      <c r="C807" s="26" t="s">
        <v>4756</v>
      </c>
      <c r="D807" s="26"/>
      <c r="E807" s="26"/>
    </row>
    <row r="808" spans="1:5" s="16" customFormat="1" ht="12.95" customHeight="1">
      <c r="A808" s="26" t="s">
        <v>4761</v>
      </c>
      <c r="B808" s="26"/>
      <c r="C808" s="26" t="s">
        <v>4758</v>
      </c>
      <c r="D808" s="26"/>
      <c r="E808" s="26"/>
    </row>
    <row r="809" spans="1:5" s="16" customFormat="1" ht="12.95" customHeight="1">
      <c r="A809" s="26" t="s">
        <v>4762</v>
      </c>
      <c r="B809" s="26"/>
      <c r="C809" s="26" t="s">
        <v>4751</v>
      </c>
      <c r="D809" s="26"/>
      <c r="E809" s="26"/>
    </row>
    <row r="810" spans="1:5" s="16" customFormat="1" ht="12.95" customHeight="1">
      <c r="A810" s="26" t="s">
        <v>4763</v>
      </c>
      <c r="B810" s="26"/>
      <c r="C810" s="26" t="s">
        <v>4751</v>
      </c>
      <c r="D810" s="26"/>
      <c r="E810" s="26"/>
    </row>
    <row r="811" spans="1:5" s="16" customFormat="1" ht="12.95" customHeight="1">
      <c r="A811" s="26" t="s">
        <v>4764</v>
      </c>
      <c r="B811" s="26"/>
      <c r="C811" s="26" t="s">
        <v>4751</v>
      </c>
      <c r="D811" s="26"/>
      <c r="E811" s="26"/>
    </row>
    <row r="812" spans="1:5" s="16" customFormat="1" ht="12.95" customHeight="1">
      <c r="A812" s="26" t="s">
        <v>4765</v>
      </c>
      <c r="B812" s="26"/>
      <c r="C812" s="26" t="s">
        <v>4754</v>
      </c>
      <c r="D812" s="26"/>
      <c r="E812" s="26"/>
    </row>
    <row r="813" spans="1:5" s="16" customFormat="1" ht="12.95" customHeight="1">
      <c r="A813" s="26" t="s">
        <v>4766</v>
      </c>
      <c r="B813" s="26"/>
      <c r="C813" s="26" t="s">
        <v>4756</v>
      </c>
      <c r="D813" s="26"/>
      <c r="E813" s="26"/>
    </row>
    <row r="814" spans="1:5" s="16" customFormat="1" ht="12.95" customHeight="1">
      <c r="A814" s="26" t="s">
        <v>4767</v>
      </c>
      <c r="B814" s="26"/>
      <c r="C814" s="26" t="s">
        <v>4758</v>
      </c>
      <c r="D814" s="26"/>
      <c r="E814" s="26"/>
    </row>
    <row r="815" spans="1:5" s="16" customFormat="1" ht="12.95" customHeight="1">
      <c r="A815" s="26" t="s">
        <v>4768</v>
      </c>
      <c r="B815" s="26"/>
      <c r="C815" s="26" t="s">
        <v>4769</v>
      </c>
      <c r="D815" s="26"/>
      <c r="E815" s="26"/>
    </row>
    <row r="816" spans="1:5" s="16" customFormat="1" ht="12.95" customHeight="1">
      <c r="A816" s="26" t="s">
        <v>4770</v>
      </c>
      <c r="B816" s="26"/>
      <c r="C816" s="26" t="s">
        <v>4771</v>
      </c>
      <c r="D816" s="26"/>
      <c r="E816" s="26"/>
    </row>
    <row r="817" spans="1:5" s="16" customFormat="1" ht="12.95" customHeight="1">
      <c r="A817" s="26" t="s">
        <v>1207</v>
      </c>
      <c r="B817" s="26"/>
      <c r="C817" s="26" t="s">
        <v>4772</v>
      </c>
      <c r="D817" s="26"/>
      <c r="E817" s="26"/>
    </row>
    <row r="818" spans="1:5" s="16" customFormat="1" ht="12.95" customHeight="1">
      <c r="A818" s="26" t="s">
        <v>4773</v>
      </c>
      <c r="B818" s="26"/>
      <c r="C818" s="26" t="s">
        <v>4774</v>
      </c>
      <c r="D818" s="26"/>
      <c r="E818" s="26"/>
    </row>
    <row r="819" spans="1:5" s="16" customFormat="1" ht="12.95" customHeight="1">
      <c r="A819" s="26" t="s">
        <v>4775</v>
      </c>
      <c r="B819" s="26"/>
      <c r="C819" s="26" t="s">
        <v>4776</v>
      </c>
      <c r="D819" s="26"/>
      <c r="E819" s="26"/>
    </row>
    <row r="820" spans="1:5" s="16" customFormat="1" ht="12.95" customHeight="1">
      <c r="A820" s="26" t="s">
        <v>4777</v>
      </c>
      <c r="B820" s="26"/>
      <c r="C820" s="26" t="s">
        <v>4778</v>
      </c>
      <c r="D820" s="26"/>
      <c r="E820" s="26"/>
    </row>
    <row r="821" spans="1:5" s="16" customFormat="1" ht="12.95" customHeight="1">
      <c r="A821" s="26" t="s">
        <v>1521</v>
      </c>
      <c r="B821" s="26"/>
      <c r="C821" s="26" t="s">
        <v>4779</v>
      </c>
      <c r="D821" s="26"/>
      <c r="E821" s="26"/>
    </row>
    <row r="822" spans="1:5" s="16" customFormat="1" ht="12.95" customHeight="1">
      <c r="A822" s="26" t="s">
        <v>4780</v>
      </c>
      <c r="B822" s="26"/>
      <c r="C822" s="26" t="s">
        <v>4781</v>
      </c>
      <c r="D822" s="26"/>
      <c r="E822" s="26"/>
    </row>
    <row r="823" spans="1:5" s="16" customFormat="1" ht="12.95" customHeight="1">
      <c r="A823" s="26" t="s">
        <v>4782</v>
      </c>
      <c r="B823" s="26"/>
      <c r="C823" s="26" t="s">
        <v>4783</v>
      </c>
      <c r="D823" s="26"/>
      <c r="E823" s="26"/>
    </row>
    <row r="824" spans="1:5" s="16" customFormat="1" ht="12.95" customHeight="1">
      <c r="A824" s="26" t="s">
        <v>4784</v>
      </c>
      <c r="B824" s="26"/>
      <c r="C824" s="26" t="s">
        <v>4785</v>
      </c>
      <c r="D824" s="26"/>
      <c r="E824" s="26"/>
    </row>
    <row r="825" spans="1:5" s="16" customFormat="1" ht="12.95" customHeight="1">
      <c r="A825" s="26" t="s">
        <v>4786</v>
      </c>
      <c r="B825" s="26"/>
      <c r="C825" s="26" t="s">
        <v>4787</v>
      </c>
      <c r="D825" s="26"/>
      <c r="E825" s="26"/>
    </row>
    <row r="826" spans="1:5" s="16" customFormat="1" ht="12.95" customHeight="1">
      <c r="A826" s="26" t="s">
        <v>4788</v>
      </c>
      <c r="B826" s="26"/>
      <c r="C826" s="26" t="s">
        <v>4789</v>
      </c>
      <c r="D826" s="26"/>
      <c r="E826" s="26"/>
    </row>
    <row r="827" spans="1:5" s="16" customFormat="1" ht="12.95" customHeight="1">
      <c r="A827" s="26" t="s">
        <v>4112</v>
      </c>
      <c r="B827" s="26"/>
      <c r="C827" s="26" t="s">
        <v>4789</v>
      </c>
      <c r="D827" s="26"/>
      <c r="E827" s="26"/>
    </row>
    <row r="828" spans="1:5" s="16" customFormat="1" ht="12.95" customHeight="1">
      <c r="A828" s="26" t="s">
        <v>4790</v>
      </c>
      <c r="B828" s="26"/>
      <c r="C828" s="26" t="s">
        <v>4791</v>
      </c>
      <c r="D828" s="26"/>
      <c r="E828" s="26"/>
    </row>
    <row r="829" spans="1:5" s="16" customFormat="1" ht="12.95" customHeight="1">
      <c r="A829" s="26" t="s">
        <v>4792</v>
      </c>
      <c r="B829" s="26"/>
      <c r="C829" s="26" t="s">
        <v>4793</v>
      </c>
      <c r="D829" s="26"/>
      <c r="E829" s="26"/>
    </row>
    <row r="830" spans="1:5" s="16" customFormat="1" ht="12.95" customHeight="1">
      <c r="A830" s="26" t="s">
        <v>4794</v>
      </c>
      <c r="B830" s="26"/>
      <c r="C830" s="26" t="s">
        <v>4795</v>
      </c>
      <c r="D830" s="26"/>
      <c r="E830" s="26"/>
    </row>
    <row r="831" spans="1:5" s="16" customFormat="1" ht="12.95" customHeight="1">
      <c r="A831" s="26" t="s">
        <v>4796</v>
      </c>
      <c r="B831" s="26"/>
      <c r="C831" s="26" t="s">
        <v>4797</v>
      </c>
      <c r="D831" s="26"/>
      <c r="E831" s="26"/>
    </row>
    <row r="832" spans="1:5" s="16" customFormat="1" ht="12.95" customHeight="1">
      <c r="A832" s="26" t="s">
        <v>4798</v>
      </c>
      <c r="B832" s="26"/>
      <c r="C832" s="26" t="s">
        <v>4799</v>
      </c>
      <c r="D832" s="26"/>
      <c r="E832" s="26"/>
    </row>
    <row r="833" spans="1:5" s="16" customFormat="1" ht="12.95" customHeight="1">
      <c r="A833" s="26" t="s">
        <v>4800</v>
      </c>
      <c r="B833" s="26"/>
      <c r="C833" s="26" t="s">
        <v>4801</v>
      </c>
      <c r="D833" s="26"/>
      <c r="E833" s="26"/>
    </row>
    <row r="834" spans="1:5" s="16" customFormat="1" ht="12.95" customHeight="1">
      <c r="A834" s="26" t="s">
        <v>4802</v>
      </c>
      <c r="B834" s="26"/>
      <c r="C834" s="26" t="s">
        <v>4803</v>
      </c>
      <c r="D834" s="26"/>
      <c r="E834" s="26"/>
    </row>
    <row r="835" spans="1:5" s="16" customFormat="1" ht="12.95" customHeight="1">
      <c r="A835" s="26" t="s">
        <v>4804</v>
      </c>
      <c r="B835" s="26"/>
      <c r="C835" s="26" t="s">
        <v>4805</v>
      </c>
      <c r="D835" s="26"/>
      <c r="E835" s="26"/>
    </row>
    <row r="836" spans="1:5" s="16" customFormat="1" ht="12.95" customHeight="1">
      <c r="A836" s="26" t="s">
        <v>4806</v>
      </c>
      <c r="B836" s="26"/>
      <c r="C836" s="26" t="s">
        <v>4807</v>
      </c>
      <c r="D836" s="26"/>
      <c r="E836" s="26"/>
    </row>
    <row r="837" spans="1:5" s="16" customFormat="1" ht="12.95" customHeight="1">
      <c r="A837" s="26" t="s">
        <v>4808</v>
      </c>
      <c r="B837" s="26"/>
      <c r="C837" s="26" t="s">
        <v>4809</v>
      </c>
      <c r="D837" s="26"/>
      <c r="E837" s="26"/>
    </row>
    <row r="838" spans="1:5" s="16" customFormat="1" ht="12.95" customHeight="1">
      <c r="A838" s="26" t="s">
        <v>4810</v>
      </c>
      <c r="B838" s="26"/>
      <c r="C838" s="26" t="s">
        <v>4811</v>
      </c>
      <c r="D838" s="26"/>
      <c r="E838" s="26"/>
    </row>
    <row r="839" spans="1:5" s="16" customFormat="1" ht="12.95" customHeight="1">
      <c r="A839" s="26" t="s">
        <v>4812</v>
      </c>
      <c r="B839" s="26"/>
      <c r="C839" s="26" t="s">
        <v>4813</v>
      </c>
      <c r="D839" s="26"/>
      <c r="E839" s="26"/>
    </row>
    <row r="840" spans="1:5" s="16" customFormat="1" ht="12.95" customHeight="1">
      <c r="A840" s="26" t="s">
        <v>4814</v>
      </c>
      <c r="B840" s="26"/>
      <c r="C840" s="26" t="s">
        <v>4815</v>
      </c>
      <c r="D840" s="26"/>
      <c r="E840" s="26"/>
    </row>
    <row r="841" spans="1:5" s="16" customFormat="1" ht="12.95" customHeight="1">
      <c r="A841" s="26" t="s">
        <v>4816</v>
      </c>
      <c r="B841" s="26"/>
      <c r="C841" s="26" t="s">
        <v>4817</v>
      </c>
      <c r="D841" s="26"/>
      <c r="E841" s="26"/>
    </row>
    <row r="842" spans="1:5" s="16" customFormat="1" ht="12.95" customHeight="1">
      <c r="A842" s="26" t="s">
        <v>4818</v>
      </c>
      <c r="B842" s="26"/>
      <c r="C842" s="26" t="s">
        <v>4819</v>
      </c>
      <c r="D842" s="26"/>
      <c r="E842" s="26"/>
    </row>
    <row r="843" spans="1:5" s="16" customFormat="1" ht="12.95" customHeight="1">
      <c r="A843" s="26" t="s">
        <v>1749</v>
      </c>
      <c r="B843" s="26"/>
      <c r="C843" s="26" t="s">
        <v>4820</v>
      </c>
      <c r="D843" s="26"/>
      <c r="E843" s="26"/>
    </row>
    <row r="844" spans="1:5" s="16" customFormat="1" ht="12.95" customHeight="1">
      <c r="A844" s="26" t="s">
        <v>4821</v>
      </c>
      <c r="B844" s="26"/>
      <c r="C844" s="26" t="s">
        <v>4815</v>
      </c>
      <c r="D844" s="26"/>
      <c r="E844" s="26"/>
    </row>
    <row r="845" spans="1:5" s="16" customFormat="1" ht="12.95" customHeight="1">
      <c r="A845" s="26" t="s">
        <v>4822</v>
      </c>
      <c r="B845" s="26"/>
      <c r="C845" s="26" t="s">
        <v>4817</v>
      </c>
      <c r="D845" s="26"/>
      <c r="E845" s="26"/>
    </row>
    <row r="846" spans="1:5" s="16" customFormat="1" ht="12.95" customHeight="1">
      <c r="A846" s="26" t="s">
        <v>4823</v>
      </c>
      <c r="B846" s="26"/>
      <c r="C846" s="26" t="s">
        <v>4819</v>
      </c>
      <c r="D846" s="26"/>
      <c r="E846" s="26"/>
    </row>
    <row r="847" spans="1:5" s="16" customFormat="1" ht="12.95" customHeight="1">
      <c r="A847" s="26" t="s">
        <v>4824</v>
      </c>
      <c r="B847" s="26"/>
      <c r="C847" s="26" t="s">
        <v>4820</v>
      </c>
      <c r="D847" s="26"/>
      <c r="E847" s="26"/>
    </row>
    <row r="848" spans="1:5" s="16" customFormat="1" ht="12.95" customHeight="1">
      <c r="A848" s="26" t="s">
        <v>4825</v>
      </c>
      <c r="B848" s="26"/>
      <c r="C848" s="26" t="s">
        <v>4815</v>
      </c>
      <c r="D848" s="26"/>
      <c r="E848" s="26"/>
    </row>
    <row r="849" spans="1:5" s="16" customFormat="1" ht="12.95" customHeight="1">
      <c r="A849" s="26" t="s">
        <v>4826</v>
      </c>
      <c r="B849" s="26"/>
      <c r="C849" s="26" t="s">
        <v>4827</v>
      </c>
      <c r="D849" s="26"/>
      <c r="E849" s="26"/>
    </row>
    <row r="850" spans="1:5" s="16" customFormat="1" ht="12.95" customHeight="1">
      <c r="A850" s="26" t="s">
        <v>4828</v>
      </c>
      <c r="B850" s="26"/>
      <c r="C850" s="26" t="s">
        <v>4829</v>
      </c>
      <c r="D850" s="26"/>
      <c r="E850" s="26"/>
    </row>
    <row r="851" spans="1:5" s="16" customFormat="1" ht="12.95" customHeight="1">
      <c r="A851" s="26" t="s">
        <v>4830</v>
      </c>
      <c r="B851" s="26"/>
      <c r="C851" s="26" t="s">
        <v>4831</v>
      </c>
      <c r="D851" s="26"/>
      <c r="E851" s="26"/>
    </row>
    <row r="852" spans="1:5" s="16" customFormat="1" ht="12.95" customHeight="1">
      <c r="A852" s="26" t="s">
        <v>4832</v>
      </c>
      <c r="B852" s="26"/>
      <c r="C852" s="26" t="s">
        <v>4833</v>
      </c>
      <c r="D852" s="26"/>
      <c r="E852" s="26"/>
    </row>
    <row r="853" spans="1:5" s="16" customFormat="1" ht="12.95" customHeight="1">
      <c r="A853" s="26" t="s">
        <v>4834</v>
      </c>
      <c r="B853" s="26"/>
      <c r="C853" s="26" t="s">
        <v>4835</v>
      </c>
      <c r="D853" s="26"/>
      <c r="E853" s="26"/>
    </row>
    <row r="854" spans="1:5" s="16" customFormat="1" ht="12.95" customHeight="1">
      <c r="A854" s="26" t="s">
        <v>4836</v>
      </c>
      <c r="B854" s="26"/>
      <c r="C854" s="26" t="s">
        <v>4837</v>
      </c>
      <c r="D854" s="26"/>
      <c r="E854" s="26"/>
    </row>
    <row r="855" spans="1:5" s="16" customFormat="1" ht="12.95" customHeight="1">
      <c r="A855" s="26" t="s">
        <v>4838</v>
      </c>
      <c r="B855" s="26"/>
      <c r="C855" s="26" t="s">
        <v>4839</v>
      </c>
      <c r="D855" s="26"/>
      <c r="E855" s="26"/>
    </row>
    <row r="856" spans="1:5" s="16" customFormat="1" ht="12.95" customHeight="1">
      <c r="A856" s="26" t="s">
        <v>4840</v>
      </c>
      <c r="B856" s="26"/>
      <c r="C856" s="26" t="s">
        <v>4839</v>
      </c>
      <c r="D856" s="26"/>
      <c r="E856" s="26"/>
    </row>
    <row r="857" spans="1:5" s="16" customFormat="1" ht="12.95" customHeight="1">
      <c r="A857" s="26" t="s">
        <v>4841</v>
      </c>
      <c r="B857" s="26"/>
      <c r="C857" s="26" t="s">
        <v>4842</v>
      </c>
      <c r="D857" s="26"/>
      <c r="E857" s="26"/>
    </row>
    <row r="858" spans="1:5" s="16" customFormat="1" ht="12.95" customHeight="1">
      <c r="A858" s="26" t="s">
        <v>4843</v>
      </c>
      <c r="B858" s="26"/>
      <c r="C858" s="26" t="s">
        <v>4831</v>
      </c>
      <c r="D858" s="26"/>
      <c r="E858" s="26"/>
    </row>
    <row r="859" spans="1:5" s="16" customFormat="1" ht="12.95" customHeight="1">
      <c r="A859" s="26" t="s">
        <v>4844</v>
      </c>
      <c r="B859" s="26"/>
      <c r="C859" s="26" t="s">
        <v>4833</v>
      </c>
      <c r="D859" s="26"/>
      <c r="E859" s="26"/>
    </row>
    <row r="860" spans="1:5" s="16" customFormat="1" ht="12.95" customHeight="1">
      <c r="A860" s="26" t="s">
        <v>4845</v>
      </c>
      <c r="B860" s="26"/>
      <c r="C860" s="26" t="s">
        <v>4846</v>
      </c>
      <c r="D860" s="26"/>
      <c r="E860" s="26"/>
    </row>
    <row r="861" spans="1:5" s="16" customFormat="1" ht="12.95" customHeight="1">
      <c r="A861" s="26" t="s">
        <v>4847</v>
      </c>
      <c r="B861" s="26"/>
      <c r="C861" s="26" t="s">
        <v>4848</v>
      </c>
      <c r="D861" s="26"/>
      <c r="E861" s="26"/>
    </row>
    <row r="862" spans="1:5" s="16" customFormat="1" ht="12.95" customHeight="1">
      <c r="A862" s="26" t="s">
        <v>4849</v>
      </c>
      <c r="B862" s="26"/>
      <c r="C862" s="26" t="s">
        <v>4850</v>
      </c>
      <c r="D862" s="26"/>
      <c r="E862" s="26"/>
    </row>
    <row r="863" spans="1:5" s="16" customFormat="1" ht="12.95" customHeight="1">
      <c r="A863" s="26" t="s">
        <v>4851</v>
      </c>
      <c r="B863" s="26"/>
      <c r="C863" s="26" t="s">
        <v>4839</v>
      </c>
      <c r="D863" s="26"/>
      <c r="E863" s="26"/>
    </row>
    <row r="864" spans="1:5" s="16" customFormat="1" ht="12.95" customHeight="1">
      <c r="A864" s="26" t="s">
        <v>4852</v>
      </c>
      <c r="B864" s="26"/>
      <c r="C864" s="26" t="s">
        <v>4853</v>
      </c>
      <c r="D864" s="26"/>
      <c r="E864" s="26"/>
    </row>
    <row r="865" spans="1:5" s="16" customFormat="1" ht="12.95" customHeight="1">
      <c r="A865" s="26" t="s">
        <v>4854</v>
      </c>
      <c r="B865" s="26"/>
      <c r="C865" s="26" t="s">
        <v>4855</v>
      </c>
      <c r="D865" s="26"/>
      <c r="E865" s="26"/>
    </row>
    <row r="866" spans="1:5" s="16" customFormat="1" ht="12.95" customHeight="1">
      <c r="A866" s="26" t="s">
        <v>4856</v>
      </c>
      <c r="B866" s="26"/>
      <c r="C866" s="26" t="s">
        <v>4857</v>
      </c>
      <c r="D866" s="26"/>
      <c r="E866" s="26"/>
    </row>
    <row r="867" spans="1:5" s="16" customFormat="1" ht="12.95" customHeight="1">
      <c r="A867" s="26" t="s">
        <v>4858</v>
      </c>
      <c r="B867" s="26"/>
      <c r="C867" s="26" t="s">
        <v>4859</v>
      </c>
      <c r="D867" s="26"/>
      <c r="E867" s="26"/>
    </row>
    <row r="868" spans="1:5" s="16" customFormat="1" ht="12.95" customHeight="1">
      <c r="A868" s="26" t="s">
        <v>4860</v>
      </c>
      <c r="B868" s="26"/>
      <c r="C868" s="26" t="s">
        <v>4861</v>
      </c>
      <c r="D868" s="26"/>
      <c r="E868" s="26"/>
    </row>
    <row r="869" spans="1:5" s="16" customFormat="1" ht="12.95" customHeight="1">
      <c r="A869" s="26" t="s">
        <v>4862</v>
      </c>
      <c r="B869" s="26"/>
      <c r="C869" s="26" t="s">
        <v>4863</v>
      </c>
      <c r="D869" s="26"/>
      <c r="E869" s="26"/>
    </row>
    <row r="870" spans="1:5" s="16" customFormat="1" ht="12.95" customHeight="1">
      <c r="A870" s="26" t="s">
        <v>4864</v>
      </c>
      <c r="B870" s="26"/>
      <c r="C870" s="26" t="s">
        <v>4865</v>
      </c>
      <c r="D870" s="26"/>
      <c r="E870" s="26"/>
    </row>
    <row r="871" spans="1:5" s="16" customFormat="1" ht="12.95" customHeight="1">
      <c r="A871" s="26" t="s">
        <v>4866</v>
      </c>
      <c r="B871" s="26"/>
      <c r="C871" s="26" t="s">
        <v>4867</v>
      </c>
      <c r="D871" s="26"/>
      <c r="E871" s="26"/>
    </row>
    <row r="872" spans="1:5" s="16" customFormat="1" ht="12.95" customHeight="1">
      <c r="A872" s="26" t="s">
        <v>4868</v>
      </c>
      <c r="B872" s="26"/>
      <c r="C872" s="26" t="s">
        <v>4869</v>
      </c>
      <c r="D872" s="26"/>
      <c r="E872" s="26"/>
    </row>
    <row r="873" spans="1:5" s="16" customFormat="1" ht="12.95" customHeight="1">
      <c r="A873" s="26" t="s">
        <v>4870</v>
      </c>
      <c r="B873" s="26"/>
      <c r="C873" s="26" t="s">
        <v>4871</v>
      </c>
      <c r="D873" s="26"/>
      <c r="E873" s="26"/>
    </row>
    <row r="874" spans="1:5" s="16" customFormat="1" ht="12.95" customHeight="1">
      <c r="A874" s="26" t="s">
        <v>4872</v>
      </c>
      <c r="B874" s="26"/>
      <c r="C874" s="26" t="s">
        <v>4873</v>
      </c>
      <c r="D874" s="26"/>
      <c r="E874" s="26"/>
    </row>
    <row r="875" spans="1:5" s="16" customFormat="1" ht="12.95" customHeight="1">
      <c r="A875" s="26" t="s">
        <v>4874</v>
      </c>
      <c r="B875" s="26"/>
      <c r="C875" s="26" t="s">
        <v>4875</v>
      </c>
      <c r="D875" s="26"/>
      <c r="E875" s="26"/>
    </row>
    <row r="876" spans="1:5" s="16" customFormat="1" ht="12.95" customHeight="1">
      <c r="A876" s="26" t="s">
        <v>4876</v>
      </c>
      <c r="B876" s="26"/>
      <c r="C876" s="26" t="s">
        <v>4877</v>
      </c>
      <c r="D876" s="26"/>
      <c r="E876" s="26"/>
    </row>
    <row r="877" spans="1:5" s="16" customFormat="1" ht="12.95" customHeight="1">
      <c r="A877" s="26" t="s">
        <v>4878</v>
      </c>
      <c r="B877" s="26"/>
      <c r="C877" s="26" t="s">
        <v>4879</v>
      </c>
      <c r="D877" s="26"/>
      <c r="E877" s="26"/>
    </row>
    <row r="878" spans="1:5" s="16" customFormat="1" ht="12.95" customHeight="1">
      <c r="A878" s="26" t="s">
        <v>4880</v>
      </c>
      <c r="B878" s="26"/>
      <c r="C878" s="26" t="s">
        <v>4881</v>
      </c>
      <c r="D878" s="26"/>
      <c r="E878" s="26"/>
    </row>
    <row r="879" spans="1:5" s="16" customFormat="1" ht="12.95" customHeight="1">
      <c r="A879" s="26" t="s">
        <v>4882</v>
      </c>
      <c r="B879" s="26"/>
      <c r="C879" s="26" t="s">
        <v>4883</v>
      </c>
      <c r="D879" s="26"/>
      <c r="E879" s="26"/>
    </row>
    <row r="880" spans="1:5" s="16" customFormat="1" ht="12.95" customHeight="1">
      <c r="A880" s="26" t="s">
        <v>4884</v>
      </c>
      <c r="B880" s="26"/>
      <c r="C880" s="26" t="s">
        <v>4885</v>
      </c>
      <c r="D880" s="26"/>
      <c r="E880" s="26"/>
    </row>
    <row r="881" spans="1:5" s="16" customFormat="1" ht="12.95" customHeight="1">
      <c r="A881" s="26" t="s">
        <v>4886</v>
      </c>
      <c r="B881" s="26"/>
      <c r="C881" s="26" t="s">
        <v>4887</v>
      </c>
      <c r="D881" s="26"/>
      <c r="E881" s="26"/>
    </row>
    <row r="882" spans="1:5" s="16" customFormat="1" ht="12.95" customHeight="1">
      <c r="A882" s="26" t="s">
        <v>4888</v>
      </c>
      <c r="B882" s="26"/>
      <c r="C882" s="26" t="s">
        <v>4889</v>
      </c>
      <c r="D882" s="26"/>
      <c r="E882" s="26"/>
    </row>
    <row r="883" spans="1:5" s="16" customFormat="1" ht="12.95" customHeight="1">
      <c r="A883" s="26" t="s">
        <v>4890</v>
      </c>
      <c r="B883" s="26"/>
      <c r="C883" s="26" t="s">
        <v>4883</v>
      </c>
      <c r="D883" s="26"/>
      <c r="E883" s="26"/>
    </row>
    <row r="884" spans="1:5" s="16" customFormat="1" ht="12.95" customHeight="1">
      <c r="A884" s="26" t="s">
        <v>4891</v>
      </c>
      <c r="B884" s="26"/>
      <c r="C884" s="26" t="s">
        <v>4885</v>
      </c>
      <c r="D884" s="26"/>
      <c r="E884" s="26"/>
    </row>
    <row r="885" spans="1:5" s="16" customFormat="1" ht="12.95" customHeight="1">
      <c r="A885" s="26" t="s">
        <v>4892</v>
      </c>
      <c r="B885" s="26"/>
      <c r="C885" s="26" t="s">
        <v>4887</v>
      </c>
      <c r="D885" s="26"/>
      <c r="E885" s="26"/>
    </row>
    <row r="886" spans="1:5" s="16" customFormat="1" ht="12.95" customHeight="1">
      <c r="A886" s="26" t="s">
        <v>4893</v>
      </c>
      <c r="B886" s="26"/>
      <c r="C886" s="26" t="s">
        <v>4889</v>
      </c>
      <c r="D886" s="26"/>
      <c r="E886" s="26"/>
    </row>
    <row r="887" spans="1:5" s="16" customFormat="1" ht="12.95" customHeight="1">
      <c r="A887" s="26" t="s">
        <v>4894</v>
      </c>
      <c r="B887" s="26"/>
      <c r="C887" s="26" t="s">
        <v>4895</v>
      </c>
      <c r="D887" s="26"/>
      <c r="E887" s="26"/>
    </row>
    <row r="888" spans="1:5" s="16" customFormat="1" ht="12.95" customHeight="1">
      <c r="A888" s="26" t="s">
        <v>4896</v>
      </c>
      <c r="B888" s="26"/>
      <c r="C888" s="26" t="s">
        <v>4897</v>
      </c>
      <c r="D888" s="26"/>
      <c r="E888" s="26"/>
    </row>
    <row r="889" spans="1:5" s="16" customFormat="1" ht="12.95" customHeight="1">
      <c r="A889" s="26" t="s">
        <v>4898</v>
      </c>
      <c r="B889" s="26"/>
      <c r="C889" s="26" t="s">
        <v>4899</v>
      </c>
      <c r="D889" s="26"/>
      <c r="E889" s="26"/>
    </row>
    <row r="890" spans="1:5" s="16" customFormat="1" ht="12.95" customHeight="1">
      <c r="A890" s="26" t="s">
        <v>4900</v>
      </c>
      <c r="B890" s="26"/>
      <c r="C890" s="26" t="s">
        <v>4901</v>
      </c>
      <c r="D890" s="26"/>
      <c r="E890" s="26"/>
    </row>
    <row r="891" spans="1:5" s="16" customFormat="1" ht="12.95" customHeight="1">
      <c r="A891" s="26" t="s">
        <v>4902</v>
      </c>
      <c r="B891" s="26"/>
      <c r="C891" s="26" t="s">
        <v>4903</v>
      </c>
      <c r="D891" s="26"/>
      <c r="E891" s="26"/>
    </row>
    <row r="892" spans="1:5" s="16" customFormat="1" ht="12.95" customHeight="1">
      <c r="A892" s="26" t="s">
        <v>4904</v>
      </c>
      <c r="B892" s="26"/>
      <c r="C892" s="26" t="s">
        <v>4905</v>
      </c>
      <c r="D892" s="26"/>
      <c r="E892" s="26"/>
    </row>
    <row r="893" spans="1:5" s="16" customFormat="1" ht="12.95" customHeight="1">
      <c r="A893" s="26" t="s">
        <v>4906</v>
      </c>
      <c r="B893" s="26"/>
      <c r="C893" s="26" t="s">
        <v>4907</v>
      </c>
      <c r="D893" s="26"/>
      <c r="E893" s="26"/>
    </row>
    <row r="894" spans="1:5" s="16" customFormat="1" ht="12.95" customHeight="1">
      <c r="A894" s="26" t="s">
        <v>4908</v>
      </c>
      <c r="B894" s="26"/>
      <c r="C894" s="26" t="s">
        <v>4909</v>
      </c>
      <c r="D894" s="26"/>
      <c r="E894" s="26"/>
    </row>
    <row r="895" spans="1:5" s="16" customFormat="1" ht="12.95" customHeight="1">
      <c r="A895" s="26" t="s">
        <v>4910</v>
      </c>
      <c r="B895" s="26"/>
      <c r="C895" s="26" t="s">
        <v>4911</v>
      </c>
      <c r="D895" s="26"/>
      <c r="E895" s="26"/>
    </row>
    <row r="896" spans="1:5" s="16" customFormat="1" ht="12.95" customHeight="1">
      <c r="A896" s="26" t="s">
        <v>4912</v>
      </c>
      <c r="B896" s="26"/>
      <c r="C896" s="26" t="s">
        <v>4913</v>
      </c>
      <c r="D896" s="26"/>
      <c r="E896" s="26"/>
    </row>
    <row r="897" spans="1:5" s="16" customFormat="1" ht="12.95" customHeight="1">
      <c r="A897" s="26" t="s">
        <v>4914</v>
      </c>
      <c r="B897" s="26"/>
      <c r="C897" s="26" t="s">
        <v>4905</v>
      </c>
      <c r="D897" s="26"/>
      <c r="E897" s="26"/>
    </row>
    <row r="898" spans="1:5" s="16" customFormat="1" ht="12.95" customHeight="1">
      <c r="A898" s="26" t="s">
        <v>4915</v>
      </c>
      <c r="B898" s="26"/>
      <c r="C898" s="26" t="s">
        <v>4907</v>
      </c>
      <c r="D898" s="26"/>
      <c r="E898" s="26"/>
    </row>
    <row r="899" spans="1:5" s="16" customFormat="1" ht="12.95" customHeight="1">
      <c r="A899" s="26" t="s">
        <v>4916</v>
      </c>
      <c r="B899" s="26"/>
      <c r="C899" s="26" t="s">
        <v>4909</v>
      </c>
      <c r="D899" s="26"/>
      <c r="E899" s="26"/>
    </row>
    <row r="900" spans="1:5" s="16" customFormat="1" ht="12.95" customHeight="1">
      <c r="A900" s="26" t="s">
        <v>4917</v>
      </c>
      <c r="B900" s="26"/>
      <c r="C900" s="26" t="s">
        <v>4911</v>
      </c>
      <c r="D900" s="26"/>
      <c r="E900" s="26"/>
    </row>
    <row r="901" spans="1:5" s="16" customFormat="1" ht="12.95" customHeight="1">
      <c r="A901" s="26" t="s">
        <v>4918</v>
      </c>
      <c r="B901" s="26"/>
      <c r="C901" s="26" t="s">
        <v>4913</v>
      </c>
      <c r="D901" s="26"/>
      <c r="E901" s="26"/>
    </row>
    <row r="902" spans="1:5" s="16" customFormat="1" ht="12.95" customHeight="1">
      <c r="A902" s="26" t="s">
        <v>4919</v>
      </c>
      <c r="B902" s="26"/>
      <c r="C902" s="26" t="s">
        <v>4920</v>
      </c>
      <c r="D902" s="26"/>
      <c r="E902" s="26"/>
    </row>
    <row r="903" spans="1:5" s="16" customFormat="1" ht="12.95" customHeight="1">
      <c r="A903" s="26" t="s">
        <v>4921</v>
      </c>
      <c r="B903" s="26"/>
      <c r="C903" s="26" t="s">
        <v>4922</v>
      </c>
      <c r="D903" s="26"/>
      <c r="E903" s="26"/>
    </row>
    <row r="904" spans="1:5" s="16" customFormat="1" ht="12.95" customHeight="1">
      <c r="A904" s="26" t="s">
        <v>4923</v>
      </c>
      <c r="B904" s="26"/>
      <c r="C904" s="26" t="s">
        <v>4924</v>
      </c>
      <c r="D904" s="26"/>
      <c r="E904" s="26"/>
    </row>
    <row r="905" spans="1:5" s="16" customFormat="1" ht="12.95" customHeight="1">
      <c r="A905" s="26" t="s">
        <v>4923</v>
      </c>
      <c r="B905" s="26"/>
      <c r="C905" s="26" t="s">
        <v>4924</v>
      </c>
      <c r="D905" s="26"/>
      <c r="E905" s="26"/>
    </row>
    <row r="906" spans="1:5" s="16" customFormat="1" ht="12.95" customHeight="1">
      <c r="A906" s="26" t="s">
        <v>4925</v>
      </c>
      <c r="B906" s="26"/>
      <c r="C906" s="26" t="s">
        <v>4926</v>
      </c>
      <c r="D906" s="26"/>
      <c r="E906" s="26"/>
    </row>
    <row r="907" spans="1:5" s="16" customFormat="1" ht="12.95" customHeight="1">
      <c r="A907" s="26" t="s">
        <v>4927</v>
      </c>
      <c r="B907" s="26"/>
      <c r="C907" s="26" t="s">
        <v>4928</v>
      </c>
      <c r="D907" s="26"/>
      <c r="E907" s="26"/>
    </row>
    <row r="908" spans="1:5" s="16" customFormat="1" ht="12.95" customHeight="1">
      <c r="A908" s="26" t="s">
        <v>4929</v>
      </c>
      <c r="B908" s="26"/>
      <c r="C908" s="26" t="s">
        <v>4930</v>
      </c>
      <c r="D908" s="26"/>
      <c r="E908" s="26"/>
    </row>
    <row r="909" spans="1:5" s="16" customFormat="1" ht="12.95" customHeight="1">
      <c r="A909" s="26" t="s">
        <v>4931</v>
      </c>
      <c r="B909" s="26"/>
      <c r="C909" s="26" t="s">
        <v>4932</v>
      </c>
      <c r="D909" s="26"/>
      <c r="E909" s="26"/>
    </row>
    <row r="910" spans="1:5" s="16" customFormat="1" ht="12.95" customHeight="1">
      <c r="A910" s="26" t="s">
        <v>4933</v>
      </c>
      <c r="B910" s="26"/>
      <c r="C910" s="26" t="s">
        <v>4934</v>
      </c>
      <c r="D910" s="26"/>
      <c r="E910" s="26"/>
    </row>
    <row r="911" spans="1:5" s="16" customFormat="1" ht="12.95" customHeight="1">
      <c r="A911" s="26" t="s">
        <v>4935</v>
      </c>
      <c r="B911" s="26"/>
      <c r="C911" s="26" t="s">
        <v>4936</v>
      </c>
      <c r="D911" s="26"/>
      <c r="E911" s="26"/>
    </row>
    <row r="912" spans="1:5" s="16" customFormat="1" ht="12.95" customHeight="1">
      <c r="A912" s="26" t="s">
        <v>4937</v>
      </c>
      <c r="B912" s="26"/>
      <c r="C912" s="26" t="s">
        <v>4938</v>
      </c>
      <c r="D912" s="26"/>
      <c r="E912" s="26"/>
    </row>
    <row r="913" spans="1:5" s="16" customFormat="1" ht="12.95" customHeight="1">
      <c r="A913" s="26" t="s">
        <v>4939</v>
      </c>
      <c r="B913" s="26"/>
      <c r="C913" s="26" t="s">
        <v>4940</v>
      </c>
      <c r="D913" s="26"/>
      <c r="E913" s="26"/>
    </row>
    <row r="914" spans="1:5" s="16" customFormat="1" ht="12.95" customHeight="1">
      <c r="A914" s="26" t="s">
        <v>4941</v>
      </c>
      <c r="B914" s="26"/>
      <c r="C914" s="26" t="s">
        <v>4942</v>
      </c>
      <c r="D914" s="26"/>
      <c r="E914" s="26"/>
    </row>
    <row r="915" spans="1:5" s="16" customFormat="1" ht="12.95" customHeight="1">
      <c r="A915" s="26" t="s">
        <v>4943</v>
      </c>
      <c r="B915" s="26"/>
      <c r="C915" s="26" t="s">
        <v>4944</v>
      </c>
      <c r="D915" s="26"/>
      <c r="E915" s="26"/>
    </row>
    <row r="916" spans="1:5" s="16" customFormat="1" ht="12.95" customHeight="1">
      <c r="A916" s="26" t="s">
        <v>4945</v>
      </c>
      <c r="B916" s="26"/>
      <c r="C916" s="26" t="s">
        <v>4940</v>
      </c>
      <c r="D916" s="26"/>
      <c r="E916" s="26"/>
    </row>
    <row r="917" spans="1:5" s="16" customFormat="1" ht="12.95" customHeight="1">
      <c r="A917" s="26" t="s">
        <v>4946</v>
      </c>
      <c r="B917" s="26"/>
      <c r="C917" s="26" t="s">
        <v>4942</v>
      </c>
      <c r="D917" s="26"/>
      <c r="E917" s="26"/>
    </row>
    <row r="918" spans="1:5" s="16" customFormat="1" ht="12.95" customHeight="1">
      <c r="A918" s="26" t="s">
        <v>4947</v>
      </c>
      <c r="B918" s="26"/>
      <c r="C918" s="26" t="s">
        <v>4944</v>
      </c>
      <c r="D918" s="26"/>
      <c r="E918" s="26"/>
    </row>
    <row r="919" spans="1:5" s="16" customFormat="1" ht="12.95" customHeight="1">
      <c r="A919" s="26" t="s">
        <v>4948</v>
      </c>
      <c r="B919" s="26"/>
      <c r="C919" s="26" t="s">
        <v>4949</v>
      </c>
      <c r="D919" s="26"/>
      <c r="E919" s="26"/>
    </row>
    <row r="920" spans="1:5" s="16" customFormat="1" ht="12.95" customHeight="1">
      <c r="A920" s="26" t="s">
        <v>4950</v>
      </c>
      <c r="B920" s="26"/>
      <c r="C920" s="26" t="s">
        <v>4951</v>
      </c>
      <c r="D920" s="26"/>
      <c r="E920" s="26"/>
    </row>
    <row r="921" spans="1:5" s="16" customFormat="1" ht="12.95" customHeight="1">
      <c r="A921" s="26" t="s">
        <v>4952</v>
      </c>
      <c r="B921" s="26"/>
      <c r="C921" s="26" t="s">
        <v>4953</v>
      </c>
      <c r="D921" s="26"/>
      <c r="E921" s="26"/>
    </row>
    <row r="922" spans="1:5" s="16" customFormat="1" ht="12.95" customHeight="1">
      <c r="A922" s="26" t="s">
        <v>4954</v>
      </c>
      <c r="B922" s="26"/>
      <c r="C922" s="26" t="s">
        <v>4955</v>
      </c>
      <c r="D922" s="26"/>
      <c r="E922" s="26"/>
    </row>
    <row r="923" spans="1:5" s="16" customFormat="1" ht="12.95" customHeight="1">
      <c r="A923" s="26" t="s">
        <v>4956</v>
      </c>
      <c r="B923" s="26"/>
      <c r="C923" s="26" t="s">
        <v>4957</v>
      </c>
      <c r="D923" s="26"/>
      <c r="E923" s="26"/>
    </row>
    <row r="924" spans="1:5" s="16" customFormat="1" ht="12.95" customHeight="1">
      <c r="A924" s="26" t="s">
        <v>4958</v>
      </c>
      <c r="B924" s="26"/>
      <c r="C924" s="26" t="s">
        <v>4959</v>
      </c>
      <c r="D924" s="26"/>
      <c r="E924" s="26"/>
    </row>
    <row r="925" spans="1:5" s="16" customFormat="1" ht="12.95" customHeight="1">
      <c r="A925" s="26" t="s">
        <v>4960</v>
      </c>
      <c r="B925" s="26"/>
      <c r="C925" s="26" t="s">
        <v>4957</v>
      </c>
      <c r="D925" s="26"/>
      <c r="E925" s="26"/>
    </row>
    <row r="926" spans="1:5" s="16" customFormat="1" ht="12.95" customHeight="1">
      <c r="A926" s="26" t="s">
        <v>4961</v>
      </c>
      <c r="B926" s="26"/>
      <c r="C926" s="26" t="s">
        <v>4959</v>
      </c>
      <c r="D926" s="26"/>
      <c r="E926" s="26"/>
    </row>
    <row r="927" spans="1:5" s="16" customFormat="1" ht="12.95" customHeight="1">
      <c r="A927" s="26" t="s">
        <v>4962</v>
      </c>
      <c r="B927" s="26"/>
      <c r="C927" s="26" t="s">
        <v>4963</v>
      </c>
      <c r="D927" s="26"/>
      <c r="E927" s="26"/>
    </row>
    <row r="928" spans="1:5" s="16" customFormat="1" ht="12.95" customHeight="1">
      <c r="A928" s="26" t="s">
        <v>4964</v>
      </c>
      <c r="B928" s="26"/>
      <c r="C928" s="26" t="s">
        <v>4965</v>
      </c>
      <c r="D928" s="26"/>
      <c r="E928" s="26"/>
    </row>
    <row r="929" spans="1:5" s="16" customFormat="1" ht="12.95" customHeight="1">
      <c r="A929" s="26" t="s">
        <v>4966</v>
      </c>
      <c r="B929" s="26"/>
      <c r="C929" s="26" t="s">
        <v>4967</v>
      </c>
      <c r="D929" s="26"/>
      <c r="E929" s="26"/>
    </row>
    <row r="930" spans="1:5" s="16" customFormat="1" ht="12.95" customHeight="1">
      <c r="A930" s="26" t="s">
        <v>4968</v>
      </c>
      <c r="B930" s="26"/>
      <c r="C930" s="26" t="s">
        <v>4969</v>
      </c>
      <c r="D930" s="26"/>
      <c r="E930" s="26"/>
    </row>
    <row r="931" spans="1:5" s="16" customFormat="1" ht="12.95" customHeight="1">
      <c r="A931" s="26" t="s">
        <v>4970</v>
      </c>
      <c r="B931" s="26"/>
      <c r="C931" s="26" t="s">
        <v>4971</v>
      </c>
      <c r="D931" s="26"/>
      <c r="E931" s="26"/>
    </row>
    <row r="932" spans="1:5" s="16" customFormat="1" ht="12.95" customHeight="1">
      <c r="A932" s="26" t="s">
        <v>4972</v>
      </c>
      <c r="B932" s="26"/>
      <c r="C932" s="26" t="s">
        <v>4973</v>
      </c>
      <c r="D932" s="26"/>
      <c r="E932" s="26"/>
    </row>
    <row r="933" spans="1:5" s="16" customFormat="1" ht="12.95" customHeight="1">
      <c r="A933" s="26" t="s">
        <v>4974</v>
      </c>
      <c r="B933" s="26"/>
      <c r="C933" s="26" t="s">
        <v>4975</v>
      </c>
      <c r="D933" s="26"/>
      <c r="E933" s="26"/>
    </row>
    <row r="934" spans="1:5" s="16" customFormat="1" ht="12.95" customHeight="1">
      <c r="A934" s="26" t="s">
        <v>4976</v>
      </c>
      <c r="B934" s="26"/>
      <c r="C934" s="26" t="s">
        <v>4977</v>
      </c>
      <c r="D934" s="26"/>
      <c r="E934" s="26"/>
    </row>
    <row r="935" spans="1:5" s="16" customFormat="1" ht="12.95" customHeight="1">
      <c r="A935" s="26" t="s">
        <v>4978</v>
      </c>
      <c r="B935" s="26"/>
      <c r="C935" s="26" t="s">
        <v>4979</v>
      </c>
      <c r="D935" s="26"/>
      <c r="E935" s="26"/>
    </row>
    <row r="936" spans="1:5" s="16" customFormat="1" ht="12.95" customHeight="1">
      <c r="A936" s="26" t="s">
        <v>4980</v>
      </c>
      <c r="B936" s="26"/>
      <c r="C936" s="26" t="s">
        <v>4981</v>
      </c>
      <c r="D936" s="26"/>
      <c r="E936" s="26"/>
    </row>
    <row r="937" spans="1:5" s="16" customFormat="1" ht="12.95" customHeight="1">
      <c r="A937" s="26" t="s">
        <v>4982</v>
      </c>
      <c r="B937" s="26"/>
      <c r="C937" s="26" t="s">
        <v>4983</v>
      </c>
      <c r="D937" s="26"/>
      <c r="E937" s="26"/>
    </row>
    <row r="938" spans="1:5" s="16" customFormat="1" ht="12.95" customHeight="1">
      <c r="A938" s="26" t="s">
        <v>4984</v>
      </c>
      <c r="B938" s="26"/>
      <c r="C938" s="26" t="s">
        <v>4985</v>
      </c>
      <c r="D938" s="26"/>
      <c r="E938" s="26"/>
    </row>
    <row r="939" spans="1:5" s="16" customFormat="1" ht="12.95" customHeight="1">
      <c r="A939" s="26" t="s">
        <v>885</v>
      </c>
      <c r="B939" s="26"/>
      <c r="C939" s="26" t="s">
        <v>4986</v>
      </c>
      <c r="D939" s="26"/>
      <c r="E939" s="26"/>
    </row>
    <row r="940" spans="1:5" s="16" customFormat="1" ht="12.95" customHeight="1">
      <c r="A940" s="26" t="s">
        <v>4987</v>
      </c>
      <c r="B940" s="26"/>
      <c r="C940" s="26" t="s">
        <v>4988</v>
      </c>
      <c r="D940" s="26"/>
      <c r="E940" s="26"/>
    </row>
    <row r="941" spans="1:5" s="16" customFormat="1" ht="12.95" customHeight="1">
      <c r="A941" s="26" t="s">
        <v>4989</v>
      </c>
      <c r="B941" s="26"/>
      <c r="C941" s="26" t="s">
        <v>4990</v>
      </c>
      <c r="D941" s="26"/>
      <c r="E941" s="26"/>
    </row>
    <row r="942" spans="1:5" s="16" customFormat="1" ht="12.95" customHeight="1">
      <c r="A942" s="26" t="s">
        <v>4991</v>
      </c>
      <c r="B942" s="26"/>
      <c r="C942" s="26" t="s">
        <v>4992</v>
      </c>
      <c r="D942" s="26"/>
      <c r="E942" s="26"/>
    </row>
    <row r="943" spans="1:5" s="16" customFormat="1" ht="12.95" customHeight="1">
      <c r="A943" s="26" t="s">
        <v>4993</v>
      </c>
      <c r="B943" s="26"/>
      <c r="C943" s="26" t="s">
        <v>4994</v>
      </c>
      <c r="D943" s="26"/>
      <c r="E943" s="26"/>
    </row>
    <row r="944" spans="1:5" s="16" customFormat="1" ht="12.95" customHeight="1">
      <c r="A944" s="26" t="s">
        <v>4995</v>
      </c>
      <c r="B944" s="26"/>
      <c r="C944" s="26" t="s">
        <v>4996</v>
      </c>
      <c r="D944" s="26"/>
      <c r="E944" s="26"/>
    </row>
    <row r="945" spans="1:5" s="16" customFormat="1" ht="12.95" customHeight="1">
      <c r="A945" s="26" t="s">
        <v>4997</v>
      </c>
      <c r="B945" s="26"/>
      <c r="C945" s="26" t="s">
        <v>4998</v>
      </c>
      <c r="D945" s="26"/>
      <c r="E945" s="26"/>
    </row>
    <row r="946" spans="1:5" s="16" customFormat="1" ht="12.95" customHeight="1">
      <c r="A946" s="26" t="s">
        <v>4999</v>
      </c>
      <c r="B946" s="26"/>
      <c r="C946" s="26" t="s">
        <v>5000</v>
      </c>
      <c r="D946" s="26"/>
      <c r="E946" s="26"/>
    </row>
    <row r="947" spans="1:5" s="16" customFormat="1" ht="12.95" customHeight="1">
      <c r="A947" s="26" t="s">
        <v>5001</v>
      </c>
      <c r="B947" s="26"/>
      <c r="C947" s="26" t="s">
        <v>5002</v>
      </c>
      <c r="D947" s="26"/>
      <c r="E947" s="26"/>
    </row>
    <row r="948" spans="1:5" s="16" customFormat="1" ht="12.95" customHeight="1">
      <c r="A948" s="26" t="s">
        <v>5003</v>
      </c>
      <c r="B948" s="26"/>
      <c r="C948" s="26" t="s">
        <v>5004</v>
      </c>
      <c r="D948" s="26"/>
      <c r="E948" s="26"/>
    </row>
    <row r="949" spans="1:5" s="16" customFormat="1" ht="12.95" customHeight="1">
      <c r="A949" s="26" t="s">
        <v>5005</v>
      </c>
      <c r="B949" s="26"/>
      <c r="C949" s="26" t="s">
        <v>5006</v>
      </c>
      <c r="D949" s="26"/>
      <c r="E949" s="26"/>
    </row>
    <row r="950" spans="1:5" s="16" customFormat="1" ht="12.95" customHeight="1">
      <c r="A950" s="26" t="s">
        <v>5007</v>
      </c>
      <c r="B950" s="26"/>
      <c r="C950" s="26" t="s">
        <v>5008</v>
      </c>
      <c r="D950" s="26"/>
      <c r="E950" s="26"/>
    </row>
    <row r="951" spans="1:5" s="16" customFormat="1" ht="12.95" customHeight="1">
      <c r="A951" s="26" t="s">
        <v>5009</v>
      </c>
      <c r="B951" s="26"/>
      <c r="C951" s="26" t="s">
        <v>5010</v>
      </c>
      <c r="D951" s="26"/>
      <c r="E951" s="26"/>
    </row>
    <row r="952" spans="1:5" s="16" customFormat="1" ht="12.95" customHeight="1">
      <c r="A952" s="26" t="s">
        <v>5011</v>
      </c>
      <c r="B952" s="26"/>
      <c r="C952" s="26" t="s">
        <v>5000</v>
      </c>
      <c r="D952" s="26"/>
      <c r="E952" s="26"/>
    </row>
    <row r="953" spans="1:5" s="16" customFormat="1" ht="12.95" customHeight="1">
      <c r="A953" s="26" t="s">
        <v>5012</v>
      </c>
      <c r="B953" s="26"/>
      <c r="C953" s="26" t="s">
        <v>5002</v>
      </c>
      <c r="D953" s="26"/>
      <c r="E953" s="26"/>
    </row>
    <row r="954" spans="1:5" s="16" customFormat="1" ht="12.95" customHeight="1">
      <c r="A954" s="26" t="s">
        <v>5013</v>
      </c>
      <c r="B954" s="26"/>
      <c r="C954" s="26" t="s">
        <v>5004</v>
      </c>
      <c r="D954" s="26"/>
      <c r="E954" s="26"/>
    </row>
    <row r="955" spans="1:5" s="16" customFormat="1" ht="12.95" customHeight="1">
      <c r="A955" s="26" t="s">
        <v>5014</v>
      </c>
      <c r="B955" s="26"/>
      <c r="C955" s="26" t="s">
        <v>5006</v>
      </c>
      <c r="D955" s="26"/>
      <c r="E955" s="26"/>
    </row>
    <row r="956" spans="1:5" s="16" customFormat="1" ht="12.95" customHeight="1">
      <c r="A956" s="26" t="s">
        <v>5015</v>
      </c>
      <c r="B956" s="26"/>
      <c r="C956" s="26" t="s">
        <v>5008</v>
      </c>
      <c r="D956" s="26"/>
      <c r="E956" s="26"/>
    </row>
    <row r="957" spans="1:5" s="16" customFormat="1" ht="12.95" customHeight="1">
      <c r="A957" s="26" t="s">
        <v>5016</v>
      </c>
      <c r="B957" s="26"/>
      <c r="C957" s="26" t="s">
        <v>5010</v>
      </c>
      <c r="D957" s="26"/>
      <c r="E957" s="26"/>
    </row>
    <row r="958" spans="1:5" s="16" customFormat="1" ht="12.95" customHeight="1">
      <c r="A958" s="26" t="s">
        <v>5017</v>
      </c>
      <c r="B958" s="26"/>
      <c r="C958" s="26" t="s">
        <v>5018</v>
      </c>
      <c r="D958" s="26"/>
      <c r="E958" s="26"/>
    </row>
    <row r="959" spans="1:5" s="16" customFormat="1" ht="12.95" customHeight="1">
      <c r="A959" s="26" t="s">
        <v>5019</v>
      </c>
      <c r="B959" s="26"/>
      <c r="C959" s="26" t="s">
        <v>5000</v>
      </c>
      <c r="D959" s="26"/>
      <c r="E959" s="26"/>
    </row>
    <row r="960" spans="1:5" s="16" customFormat="1" ht="12.95" customHeight="1">
      <c r="A960" s="26" t="s">
        <v>5020</v>
      </c>
      <c r="B960" s="26"/>
      <c r="C960" s="26" t="s">
        <v>5021</v>
      </c>
      <c r="D960" s="26"/>
      <c r="E960" s="26"/>
    </row>
    <row r="961" spans="1:5" s="16" customFormat="1" ht="12.95" customHeight="1">
      <c r="A961" s="26" t="s">
        <v>5022</v>
      </c>
      <c r="B961" s="26"/>
      <c r="C961" s="26" t="s">
        <v>5023</v>
      </c>
      <c r="D961" s="26"/>
      <c r="E961" s="26"/>
    </row>
    <row r="962" spans="1:5" s="16" customFormat="1" ht="12.95" customHeight="1">
      <c r="A962" s="26" t="s">
        <v>5024</v>
      </c>
      <c r="B962" s="26"/>
      <c r="C962" s="26" t="s">
        <v>5025</v>
      </c>
      <c r="D962" s="26"/>
      <c r="E962" s="26"/>
    </row>
    <row r="963" spans="1:5" s="16" customFormat="1" ht="12.95" customHeight="1">
      <c r="A963" s="26" t="s">
        <v>5026</v>
      </c>
      <c r="B963" s="26"/>
      <c r="C963" s="26" t="s">
        <v>5027</v>
      </c>
      <c r="D963" s="26"/>
      <c r="E963" s="26"/>
    </row>
    <row r="964" spans="1:5" s="16" customFormat="1" ht="12.95" customHeight="1">
      <c r="A964" s="26" t="s">
        <v>5028</v>
      </c>
      <c r="B964" s="26"/>
      <c r="C964" s="26" t="s">
        <v>5023</v>
      </c>
      <c r="D964" s="26"/>
      <c r="E964" s="26"/>
    </row>
    <row r="965" spans="1:5" s="16" customFormat="1" ht="12.95" customHeight="1">
      <c r="A965" s="26" t="s">
        <v>5029</v>
      </c>
      <c r="B965" s="26"/>
      <c r="C965" s="26" t="s">
        <v>5025</v>
      </c>
      <c r="D965" s="26"/>
      <c r="E965" s="26"/>
    </row>
    <row r="966" spans="1:5" s="16" customFormat="1" ht="12.95" customHeight="1">
      <c r="A966" s="26" t="s">
        <v>5030</v>
      </c>
      <c r="B966" s="26"/>
      <c r="C966" s="26" t="s">
        <v>5027</v>
      </c>
      <c r="D966" s="26"/>
      <c r="E966" s="26"/>
    </row>
    <row r="967" spans="1:5" s="16" customFormat="1" ht="12.95" customHeight="1">
      <c r="A967" s="26" t="s">
        <v>5031</v>
      </c>
      <c r="B967" s="26"/>
      <c r="C967" s="26" t="s">
        <v>5032</v>
      </c>
      <c r="D967" s="26"/>
      <c r="E967" s="26"/>
    </row>
    <row r="968" spans="1:5" s="16" customFormat="1" ht="12.95" customHeight="1">
      <c r="A968" s="26" t="s">
        <v>5033</v>
      </c>
      <c r="B968" s="26"/>
      <c r="C968" s="26" t="s">
        <v>5034</v>
      </c>
      <c r="D968" s="26"/>
      <c r="E968" s="26"/>
    </row>
    <row r="969" spans="1:5" s="16" customFormat="1" ht="12.95" customHeight="1">
      <c r="A969" s="26" t="s">
        <v>5035</v>
      </c>
      <c r="B969" s="26"/>
      <c r="C969" s="26" t="s">
        <v>5036</v>
      </c>
      <c r="D969" s="26"/>
      <c r="E969" s="26"/>
    </row>
    <row r="970" spans="1:5" s="16" customFormat="1" ht="12.95" customHeight="1">
      <c r="A970" s="26" t="s">
        <v>5037</v>
      </c>
      <c r="B970" s="26"/>
      <c r="C970" s="26" t="s">
        <v>5038</v>
      </c>
      <c r="D970" s="26"/>
      <c r="E970" s="26"/>
    </row>
    <row r="971" spans="1:5" s="16" customFormat="1" ht="12.95" customHeight="1">
      <c r="A971" s="26" t="s">
        <v>5039</v>
      </c>
      <c r="B971" s="26"/>
      <c r="C971" s="26" t="s">
        <v>5040</v>
      </c>
      <c r="D971" s="26"/>
      <c r="E971" s="26"/>
    </row>
    <row r="972" spans="1:5" s="16" customFormat="1" ht="12.95" customHeight="1">
      <c r="A972" s="26" t="s">
        <v>5041</v>
      </c>
      <c r="B972" s="26"/>
      <c r="C972" s="26" t="s">
        <v>5042</v>
      </c>
      <c r="D972" s="26"/>
      <c r="E972" s="26"/>
    </row>
    <row r="973" spans="1:5" s="16" customFormat="1" ht="12.95" customHeight="1">
      <c r="A973" s="26" t="s">
        <v>5043</v>
      </c>
      <c r="B973" s="26"/>
      <c r="C973" s="26" t="s">
        <v>5044</v>
      </c>
      <c r="D973" s="26"/>
      <c r="E973" s="26"/>
    </row>
    <row r="974" spans="1:5" s="16" customFormat="1" ht="12.95" customHeight="1">
      <c r="A974" s="26" t="s">
        <v>5045</v>
      </c>
      <c r="B974" s="26"/>
      <c r="C974" s="26" t="s">
        <v>5046</v>
      </c>
      <c r="D974" s="26"/>
      <c r="E974" s="26"/>
    </row>
    <row r="975" spans="1:5" s="16" customFormat="1" ht="12.95" customHeight="1">
      <c r="A975" s="26" t="s">
        <v>5047</v>
      </c>
      <c r="B975" s="26"/>
      <c r="C975" s="26" t="s">
        <v>5048</v>
      </c>
      <c r="D975" s="26"/>
      <c r="E975" s="26"/>
    </row>
    <row r="976" spans="1:5" s="16" customFormat="1" ht="12.95" customHeight="1">
      <c r="A976" s="26" t="s">
        <v>5049</v>
      </c>
      <c r="B976" s="26"/>
      <c r="C976" s="26" t="s">
        <v>5050</v>
      </c>
      <c r="D976" s="26"/>
      <c r="E976" s="26"/>
    </row>
    <row r="977" spans="1:5" s="16" customFormat="1" ht="12.95" customHeight="1">
      <c r="A977" s="26" t="s">
        <v>5051</v>
      </c>
      <c r="B977" s="26"/>
      <c r="C977" s="26" t="s">
        <v>5052</v>
      </c>
      <c r="D977" s="26"/>
      <c r="E977" s="26"/>
    </row>
    <row r="978" spans="1:5" s="16" customFormat="1" ht="12.95" customHeight="1">
      <c r="A978" s="26" t="s">
        <v>5053</v>
      </c>
      <c r="B978" s="26"/>
      <c r="C978" s="26" t="s">
        <v>5054</v>
      </c>
      <c r="D978" s="26"/>
      <c r="E978" s="26"/>
    </row>
    <row r="979" spans="1:5" s="16" customFormat="1" ht="26.1" customHeight="1">
      <c r="A979" s="26" t="s">
        <v>5055</v>
      </c>
      <c r="B979" s="26"/>
      <c r="C979" s="26" t="s">
        <v>5056</v>
      </c>
      <c r="D979" s="26"/>
      <c r="E979" s="26"/>
    </row>
    <row r="980" spans="1:5" s="16" customFormat="1" ht="12.95" customHeight="1">
      <c r="A980" s="26" t="s">
        <v>5057</v>
      </c>
      <c r="B980" s="26"/>
      <c r="C980" s="26" t="s">
        <v>5058</v>
      </c>
      <c r="D980" s="26"/>
      <c r="E980" s="26"/>
    </row>
    <row r="981" spans="1:5" s="16" customFormat="1" ht="12.95" customHeight="1">
      <c r="A981" s="26" t="s">
        <v>5059</v>
      </c>
      <c r="B981" s="26"/>
      <c r="C981" s="26" t="s">
        <v>5060</v>
      </c>
      <c r="D981" s="26"/>
      <c r="E981" s="26"/>
    </row>
    <row r="982" spans="1:5" s="16" customFormat="1" ht="12.95" customHeight="1">
      <c r="A982" s="26" t="s">
        <v>5061</v>
      </c>
      <c r="B982" s="26"/>
      <c r="C982" s="26" t="s">
        <v>5062</v>
      </c>
      <c r="D982" s="26"/>
      <c r="E982" s="26"/>
    </row>
    <row r="983" spans="1:5" s="16" customFormat="1" ht="12.95" customHeight="1">
      <c r="A983" s="26" t="s">
        <v>5063</v>
      </c>
      <c r="B983" s="26"/>
      <c r="C983" s="26" t="s">
        <v>5064</v>
      </c>
      <c r="D983" s="26"/>
      <c r="E983" s="26"/>
    </row>
    <row r="984" spans="1:5" s="16" customFormat="1" ht="12.95" customHeight="1">
      <c r="A984" s="26" t="s">
        <v>5065</v>
      </c>
      <c r="B984" s="26"/>
      <c r="C984" s="26" t="s">
        <v>5066</v>
      </c>
      <c r="D984" s="26"/>
      <c r="E984" s="26"/>
    </row>
    <row r="985" spans="1:5" s="16" customFormat="1" ht="12.95" customHeight="1">
      <c r="A985" s="26" t="s">
        <v>5067</v>
      </c>
      <c r="B985" s="26"/>
      <c r="C985" s="26" t="s">
        <v>5068</v>
      </c>
      <c r="D985" s="26"/>
      <c r="E985" s="26"/>
    </row>
    <row r="986" spans="1:5" s="16" customFormat="1" ht="12.95" customHeight="1">
      <c r="A986" s="26" t="s">
        <v>5069</v>
      </c>
      <c r="B986" s="26"/>
      <c r="C986" s="26" t="s">
        <v>5070</v>
      </c>
      <c r="D986" s="26"/>
      <c r="E986" s="26"/>
    </row>
    <row r="987" spans="1:5" s="16" customFormat="1" ht="12.95" customHeight="1">
      <c r="A987" s="26" t="s">
        <v>5071</v>
      </c>
      <c r="B987" s="26"/>
      <c r="C987" s="26" t="s">
        <v>5072</v>
      </c>
      <c r="D987" s="26"/>
      <c r="E987" s="26"/>
    </row>
    <row r="988" spans="1:5" s="16" customFormat="1" ht="12.95" customHeight="1">
      <c r="A988" s="26" t="s">
        <v>5073</v>
      </c>
      <c r="B988" s="26"/>
      <c r="C988" s="26" t="s">
        <v>5074</v>
      </c>
      <c r="D988" s="26"/>
      <c r="E988" s="26"/>
    </row>
    <row r="989" spans="1:5" s="16" customFormat="1" ht="12.95" customHeight="1">
      <c r="A989" s="26" t="s">
        <v>5075</v>
      </c>
      <c r="B989" s="26"/>
      <c r="C989" s="26" t="s">
        <v>5076</v>
      </c>
      <c r="D989" s="26"/>
      <c r="E989" s="26"/>
    </row>
    <row r="990" spans="1:5" s="16" customFormat="1" ht="12.95" customHeight="1">
      <c r="A990" s="26" t="s">
        <v>5077</v>
      </c>
      <c r="B990" s="26"/>
      <c r="C990" s="26" t="s">
        <v>5078</v>
      </c>
      <c r="D990" s="26"/>
      <c r="E990" s="26"/>
    </row>
    <row r="991" spans="1:5" s="16" customFormat="1" ht="12.95" customHeight="1">
      <c r="A991" s="26" t="s">
        <v>3173</v>
      </c>
      <c r="B991" s="26"/>
      <c r="C991" s="26" t="s">
        <v>5079</v>
      </c>
      <c r="D991" s="26"/>
      <c r="E991" s="26"/>
    </row>
    <row r="992" spans="1:5" s="16" customFormat="1" ht="12.95" customHeight="1">
      <c r="A992" s="26" t="s">
        <v>5080</v>
      </c>
      <c r="B992" s="26"/>
      <c r="C992" s="26" t="s">
        <v>5078</v>
      </c>
      <c r="D992" s="26"/>
      <c r="E992" s="26"/>
    </row>
    <row r="993" spans="1:5" s="16" customFormat="1" ht="12.95" customHeight="1">
      <c r="A993" s="26" t="s">
        <v>5081</v>
      </c>
      <c r="B993" s="26"/>
      <c r="C993" s="26" t="s">
        <v>5079</v>
      </c>
      <c r="D993" s="26"/>
      <c r="E993" s="26"/>
    </row>
    <row r="994" spans="1:5" s="16" customFormat="1" ht="12.95" customHeight="1">
      <c r="A994" s="26" t="s">
        <v>5082</v>
      </c>
      <c r="B994" s="26"/>
      <c r="C994" s="26" t="s">
        <v>5083</v>
      </c>
      <c r="D994" s="26"/>
      <c r="E994" s="26"/>
    </row>
    <row r="995" spans="1:5" s="16" customFormat="1" ht="12.95" customHeight="1">
      <c r="A995" s="26" t="s">
        <v>5084</v>
      </c>
      <c r="B995" s="26"/>
      <c r="C995" s="26" t="s">
        <v>5085</v>
      </c>
      <c r="D995" s="26"/>
      <c r="E995" s="26"/>
    </row>
    <row r="996" spans="1:5" s="16" customFormat="1" ht="12.95" customHeight="1">
      <c r="A996" s="26" t="s">
        <v>5086</v>
      </c>
      <c r="B996" s="26"/>
      <c r="C996" s="26" t="s">
        <v>5087</v>
      </c>
      <c r="D996" s="26"/>
      <c r="E996" s="26"/>
    </row>
    <row r="997" spans="1:5" s="16" customFormat="1" ht="12.95" customHeight="1">
      <c r="A997" s="26" t="s">
        <v>5088</v>
      </c>
      <c r="B997" s="26"/>
      <c r="C997" s="26" t="s">
        <v>5089</v>
      </c>
      <c r="D997" s="26"/>
      <c r="E997" s="26"/>
    </row>
    <row r="998" spans="1:5" s="16" customFormat="1" ht="12.95" customHeight="1">
      <c r="A998" s="26" t="s">
        <v>5088</v>
      </c>
      <c r="B998" s="26"/>
      <c r="C998" s="26" t="s">
        <v>5089</v>
      </c>
      <c r="D998" s="26"/>
      <c r="E998" s="26"/>
    </row>
    <row r="999" spans="1:5" s="16" customFormat="1" ht="12.95" customHeight="1">
      <c r="A999" s="26" t="s">
        <v>5090</v>
      </c>
      <c r="B999" s="26"/>
      <c r="C999" s="26" t="s">
        <v>5091</v>
      </c>
      <c r="D999" s="26"/>
      <c r="E999" s="26"/>
    </row>
    <row r="1000" spans="1:5" s="16" customFormat="1" ht="26.1" customHeight="1">
      <c r="A1000" s="26" t="s">
        <v>5092</v>
      </c>
      <c r="B1000" s="26"/>
      <c r="C1000" s="26" t="s">
        <v>5056</v>
      </c>
      <c r="D1000" s="26"/>
      <c r="E1000" s="26"/>
    </row>
    <row r="1001" spans="1:5" s="16" customFormat="1" ht="12.95" customHeight="1">
      <c r="A1001" s="26" t="s">
        <v>5093</v>
      </c>
      <c r="B1001" s="26"/>
      <c r="C1001" s="26" t="s">
        <v>5094</v>
      </c>
      <c r="D1001" s="26"/>
      <c r="E1001" s="26"/>
    </row>
    <row r="1002" spans="1:5" s="16" customFormat="1" ht="12.95" customHeight="1">
      <c r="A1002" s="26" t="s">
        <v>5095</v>
      </c>
      <c r="B1002" s="26"/>
      <c r="C1002" s="26" t="s">
        <v>5096</v>
      </c>
      <c r="D1002" s="26"/>
      <c r="E1002" s="26"/>
    </row>
    <row r="1003" spans="1:5" s="16" customFormat="1" ht="12.95" customHeight="1">
      <c r="A1003" s="26" t="s">
        <v>5097</v>
      </c>
      <c r="B1003" s="26"/>
      <c r="C1003" s="26" t="s">
        <v>5098</v>
      </c>
      <c r="D1003" s="26"/>
      <c r="E1003" s="26"/>
    </row>
    <row r="1004" spans="1:5" s="16" customFormat="1" ht="12.95" customHeight="1">
      <c r="A1004" s="26" t="s">
        <v>5099</v>
      </c>
      <c r="B1004" s="26"/>
      <c r="C1004" s="26" t="s">
        <v>5100</v>
      </c>
      <c r="D1004" s="26"/>
      <c r="E1004" s="26"/>
    </row>
    <row r="1005" spans="1:5" s="16" customFormat="1" ht="12.95" customHeight="1">
      <c r="A1005" s="26" t="s">
        <v>5101</v>
      </c>
      <c r="B1005" s="26"/>
      <c r="C1005" s="26" t="s">
        <v>5102</v>
      </c>
      <c r="D1005" s="26"/>
      <c r="E1005" s="26"/>
    </row>
    <row r="1006" spans="1:5" s="16" customFormat="1" ht="12.95" customHeight="1">
      <c r="A1006" s="26" t="s">
        <v>5103</v>
      </c>
      <c r="B1006" s="26"/>
      <c r="C1006" s="26" t="s">
        <v>5104</v>
      </c>
      <c r="D1006" s="26"/>
      <c r="E1006" s="26"/>
    </row>
    <row r="1007" spans="1:5" s="16" customFormat="1" ht="12.95" customHeight="1">
      <c r="A1007" s="26" t="s">
        <v>2120</v>
      </c>
      <c r="B1007" s="26"/>
      <c r="C1007" s="26" t="s">
        <v>5105</v>
      </c>
      <c r="D1007" s="26"/>
      <c r="E1007" s="26"/>
    </row>
    <row r="1008" spans="1:5" s="16" customFormat="1" ht="12.95" customHeight="1">
      <c r="A1008" s="26" t="s">
        <v>5106</v>
      </c>
      <c r="B1008" s="26"/>
      <c r="C1008" s="26" t="s">
        <v>5107</v>
      </c>
      <c r="D1008" s="26"/>
      <c r="E1008" s="26"/>
    </row>
    <row r="1009" spans="1:5" s="16" customFormat="1" ht="12.95" customHeight="1">
      <c r="A1009" s="26" t="s">
        <v>4304</v>
      </c>
      <c r="B1009" s="26"/>
      <c r="C1009" s="26" t="s">
        <v>5108</v>
      </c>
      <c r="D1009" s="26"/>
      <c r="E1009" s="26"/>
    </row>
    <row r="1010" spans="1:5" s="16" customFormat="1" ht="12.95" customHeight="1">
      <c r="A1010" s="26" t="s">
        <v>5109</v>
      </c>
      <c r="B1010" s="26"/>
      <c r="C1010" s="26" t="s">
        <v>5104</v>
      </c>
      <c r="D1010" s="26"/>
      <c r="E1010" s="26"/>
    </row>
    <row r="1011" spans="1:5" s="16" customFormat="1" ht="12.95" customHeight="1">
      <c r="A1011" s="26" t="s">
        <v>5110</v>
      </c>
      <c r="B1011" s="26"/>
      <c r="C1011" s="26" t="s">
        <v>5105</v>
      </c>
      <c r="D1011" s="26"/>
      <c r="E1011" s="26"/>
    </row>
    <row r="1012" spans="1:5" s="16" customFormat="1" ht="12.95" customHeight="1">
      <c r="A1012" s="26" t="s">
        <v>5111</v>
      </c>
      <c r="B1012" s="26"/>
      <c r="C1012" s="26" t="s">
        <v>5107</v>
      </c>
      <c r="D1012" s="26"/>
      <c r="E1012" s="26"/>
    </row>
    <row r="1013" spans="1:5" s="16" customFormat="1" ht="12.95" customHeight="1">
      <c r="A1013" s="26" t="s">
        <v>5112</v>
      </c>
      <c r="B1013" s="26"/>
      <c r="C1013" s="26" t="s">
        <v>5108</v>
      </c>
      <c r="D1013" s="26"/>
      <c r="E1013" s="26"/>
    </row>
    <row r="1014" spans="1:5" s="16" customFormat="1" ht="12.95" customHeight="1">
      <c r="A1014" s="26" t="s">
        <v>5113</v>
      </c>
      <c r="B1014" s="26"/>
      <c r="C1014" s="26" t="s">
        <v>5087</v>
      </c>
      <c r="D1014" s="26"/>
      <c r="E1014" s="26"/>
    </row>
    <row r="1015" spans="1:5" s="16" customFormat="1" ht="12.95" customHeight="1">
      <c r="A1015" s="26" t="s">
        <v>5114</v>
      </c>
      <c r="B1015" s="26"/>
      <c r="C1015" s="26" t="s">
        <v>5115</v>
      </c>
      <c r="D1015" s="26"/>
      <c r="E1015" s="26"/>
    </row>
    <row r="1016" spans="1:5" s="16" customFormat="1" ht="12.95" customHeight="1">
      <c r="A1016" s="26" t="s">
        <v>5116</v>
      </c>
      <c r="B1016" s="26"/>
      <c r="C1016" s="26" t="s">
        <v>5117</v>
      </c>
      <c r="D1016" s="26"/>
      <c r="E1016" s="26"/>
    </row>
    <row r="1017" spans="1:5" s="16" customFormat="1" ht="12.95" customHeight="1">
      <c r="A1017" s="26" t="s">
        <v>5118</v>
      </c>
      <c r="B1017" s="26"/>
      <c r="C1017" s="26" t="s">
        <v>5119</v>
      </c>
      <c r="D1017" s="26"/>
      <c r="E1017" s="26"/>
    </row>
    <row r="1018" spans="1:5" s="16" customFormat="1" ht="12.95" customHeight="1">
      <c r="A1018" s="26" t="s">
        <v>5120</v>
      </c>
      <c r="B1018" s="26"/>
      <c r="C1018" s="26" t="s">
        <v>5121</v>
      </c>
      <c r="D1018" s="26"/>
      <c r="E1018" s="26"/>
    </row>
    <row r="1019" spans="1:5" s="16" customFormat="1" ht="12.95" customHeight="1">
      <c r="A1019" s="26" t="s">
        <v>5122</v>
      </c>
      <c r="B1019" s="26"/>
      <c r="C1019" s="26" t="s">
        <v>5123</v>
      </c>
      <c r="D1019" s="26"/>
      <c r="E1019" s="26"/>
    </row>
    <row r="1020" spans="1:5" s="16" customFormat="1" ht="12.95" customHeight="1">
      <c r="A1020" s="26" t="s">
        <v>5124</v>
      </c>
      <c r="B1020" s="26"/>
      <c r="C1020" s="26" t="s">
        <v>5125</v>
      </c>
      <c r="D1020" s="26"/>
      <c r="E1020" s="26"/>
    </row>
    <row r="1021" spans="1:5" s="16" customFormat="1" ht="12.95" customHeight="1">
      <c r="A1021" s="26" t="s">
        <v>2416</v>
      </c>
      <c r="B1021" s="26"/>
      <c r="C1021" s="26" t="s">
        <v>5126</v>
      </c>
      <c r="D1021" s="26"/>
      <c r="E1021" s="26"/>
    </row>
    <row r="1022" spans="1:5" s="16" customFormat="1" ht="12.95" customHeight="1">
      <c r="A1022" s="26" t="s">
        <v>5127</v>
      </c>
      <c r="B1022" s="26"/>
      <c r="C1022" s="26" t="s">
        <v>5128</v>
      </c>
      <c r="D1022" s="26"/>
      <c r="E1022" s="26"/>
    </row>
    <row r="1023" spans="1:5" s="16" customFormat="1" ht="12.95" customHeight="1">
      <c r="A1023" s="26" t="s">
        <v>5129</v>
      </c>
      <c r="B1023" s="26"/>
      <c r="C1023" s="26" t="s">
        <v>5126</v>
      </c>
      <c r="D1023" s="26"/>
      <c r="E1023" s="26"/>
    </row>
    <row r="1024" spans="1:5" s="16" customFormat="1" ht="12.95" customHeight="1">
      <c r="A1024" s="26" t="s">
        <v>5130</v>
      </c>
      <c r="B1024" s="26"/>
      <c r="C1024" s="26" t="s">
        <v>5128</v>
      </c>
      <c r="D1024" s="26"/>
      <c r="E1024" s="26"/>
    </row>
    <row r="1025" spans="1:5" s="16" customFormat="1" ht="12.95" customHeight="1">
      <c r="A1025" s="26" t="s">
        <v>5131</v>
      </c>
      <c r="B1025" s="26"/>
      <c r="C1025" s="26" t="s">
        <v>5125</v>
      </c>
      <c r="D1025" s="26"/>
      <c r="E1025" s="26"/>
    </row>
    <row r="1026" spans="1:5" s="16" customFormat="1" ht="12.95" customHeight="1">
      <c r="A1026" s="26" t="s">
        <v>5132</v>
      </c>
      <c r="B1026" s="26"/>
      <c r="C1026" s="26" t="s">
        <v>5133</v>
      </c>
      <c r="D1026" s="26"/>
      <c r="E1026" s="26"/>
    </row>
    <row r="1027" spans="1:5" s="16" customFormat="1" ht="12.95" customHeight="1">
      <c r="A1027" s="26" t="s">
        <v>5134</v>
      </c>
      <c r="B1027" s="26"/>
      <c r="C1027" s="26" t="s">
        <v>5133</v>
      </c>
      <c r="D1027" s="26"/>
      <c r="E1027" s="26"/>
    </row>
    <row r="1028" spans="1:5" s="16" customFormat="1" ht="12.95" customHeight="1">
      <c r="A1028" s="26" t="s">
        <v>5135</v>
      </c>
      <c r="B1028" s="26"/>
      <c r="C1028" s="26" t="s">
        <v>5136</v>
      </c>
      <c r="D1028" s="26"/>
      <c r="E1028" s="26"/>
    </row>
    <row r="1029" spans="1:5" s="16" customFormat="1" ht="12.95" customHeight="1">
      <c r="A1029" s="26" t="s">
        <v>5135</v>
      </c>
      <c r="B1029" s="26"/>
      <c r="C1029" s="26" t="s">
        <v>5136</v>
      </c>
      <c r="D1029" s="26"/>
      <c r="E1029" s="26"/>
    </row>
    <row r="1030" spans="1:5" s="16" customFormat="1" ht="12.95" customHeight="1">
      <c r="A1030" s="26" t="s">
        <v>5137</v>
      </c>
      <c r="B1030" s="26"/>
      <c r="C1030" s="26" t="s">
        <v>5138</v>
      </c>
      <c r="D1030" s="26"/>
      <c r="E1030" s="26"/>
    </row>
    <row r="1031" spans="1:5" s="16" customFormat="1" ht="12.95" customHeight="1">
      <c r="A1031" s="26" t="s">
        <v>5139</v>
      </c>
      <c r="B1031" s="26"/>
      <c r="C1031" s="26" t="s">
        <v>5140</v>
      </c>
      <c r="D1031" s="26"/>
      <c r="E1031" s="26"/>
    </row>
    <row r="1032" spans="1:5" s="16" customFormat="1" ht="12.95" customHeight="1">
      <c r="A1032" s="26" t="s">
        <v>5141</v>
      </c>
      <c r="B1032" s="26"/>
      <c r="C1032" s="26" t="s">
        <v>5142</v>
      </c>
      <c r="D1032" s="26"/>
      <c r="E1032" s="26"/>
    </row>
    <row r="1033" spans="1:5" s="16" customFormat="1" ht="12.95" customHeight="1">
      <c r="A1033" s="26" t="s">
        <v>991</v>
      </c>
      <c r="B1033" s="26"/>
      <c r="C1033" s="26" t="s">
        <v>5143</v>
      </c>
      <c r="D1033" s="26"/>
      <c r="E1033" s="26"/>
    </row>
    <row r="1034" spans="1:5" s="16" customFormat="1" ht="12.95" customHeight="1">
      <c r="A1034" s="26" t="s">
        <v>5144</v>
      </c>
      <c r="B1034" s="26"/>
      <c r="C1034" s="26" t="s">
        <v>5145</v>
      </c>
      <c r="D1034" s="26"/>
      <c r="E1034" s="26"/>
    </row>
    <row r="1035" spans="1:5" s="16" customFormat="1" ht="12.95" customHeight="1">
      <c r="A1035" s="26" t="s">
        <v>5146</v>
      </c>
      <c r="B1035" s="26"/>
      <c r="C1035" s="26" t="s">
        <v>5147</v>
      </c>
      <c r="D1035" s="26"/>
      <c r="E1035" s="26"/>
    </row>
    <row r="1036" spans="1:5" s="16" customFormat="1" ht="12.95" customHeight="1">
      <c r="A1036" s="26" t="s">
        <v>5148</v>
      </c>
      <c r="B1036" s="26"/>
      <c r="C1036" s="26" t="s">
        <v>5149</v>
      </c>
      <c r="D1036" s="26"/>
      <c r="E1036" s="26"/>
    </row>
    <row r="1037" spans="1:5" s="16" customFormat="1" ht="12.95" customHeight="1">
      <c r="A1037" s="26" t="s">
        <v>5150</v>
      </c>
      <c r="B1037" s="26"/>
      <c r="C1037" s="26" t="s">
        <v>5151</v>
      </c>
      <c r="D1037" s="26"/>
      <c r="E1037" s="26"/>
    </row>
    <row r="1038" spans="1:5" s="16" customFormat="1" ht="12.95" customHeight="1">
      <c r="A1038" s="26" t="s">
        <v>5152</v>
      </c>
      <c r="B1038" s="26"/>
      <c r="C1038" s="26" t="s">
        <v>5153</v>
      </c>
      <c r="D1038" s="26"/>
      <c r="E1038" s="26"/>
    </row>
    <row r="1039" spans="1:5" s="16" customFormat="1" ht="12.95" customHeight="1">
      <c r="A1039" s="26" t="s">
        <v>5154</v>
      </c>
      <c r="B1039" s="26"/>
      <c r="C1039" s="26" t="s">
        <v>5155</v>
      </c>
      <c r="D1039" s="26"/>
      <c r="E1039" s="26"/>
    </row>
    <row r="1040" spans="1:5" s="16" customFormat="1" ht="12.95" customHeight="1">
      <c r="A1040" s="26" t="s">
        <v>5156</v>
      </c>
      <c r="B1040" s="26"/>
      <c r="C1040" s="26" t="s">
        <v>5157</v>
      </c>
      <c r="D1040" s="26"/>
      <c r="E1040" s="26"/>
    </row>
    <row r="1041" spans="1:5" s="16" customFormat="1" ht="12.95" customHeight="1">
      <c r="A1041" s="26" t="s">
        <v>5158</v>
      </c>
      <c r="B1041" s="26"/>
      <c r="C1041" s="26" t="s">
        <v>5159</v>
      </c>
      <c r="D1041" s="26"/>
      <c r="E1041" s="26"/>
    </row>
    <row r="1042" spans="1:5" s="16" customFormat="1" ht="12.95" customHeight="1">
      <c r="A1042" s="26" t="s">
        <v>5160</v>
      </c>
      <c r="B1042" s="26"/>
      <c r="C1042" s="26" t="s">
        <v>5161</v>
      </c>
      <c r="D1042" s="26"/>
      <c r="E1042" s="26"/>
    </row>
    <row r="1043" spans="1:5" s="16" customFormat="1" ht="12.95" customHeight="1">
      <c r="A1043" s="26" t="s">
        <v>5162</v>
      </c>
      <c r="B1043" s="26"/>
      <c r="C1043" s="26" t="s">
        <v>5163</v>
      </c>
      <c r="D1043" s="26"/>
      <c r="E1043" s="26"/>
    </row>
    <row r="1044" spans="1:5" s="16" customFormat="1" ht="12.95" customHeight="1">
      <c r="A1044" s="26" t="s">
        <v>5164</v>
      </c>
      <c r="B1044" s="26"/>
      <c r="C1044" s="26" t="s">
        <v>5165</v>
      </c>
      <c r="D1044" s="26"/>
      <c r="E1044" s="26"/>
    </row>
    <row r="1045" spans="1:5" s="16" customFormat="1" ht="12.95" customHeight="1">
      <c r="A1045" s="26" t="s">
        <v>5166</v>
      </c>
      <c r="B1045" s="26"/>
      <c r="C1045" s="26" t="s">
        <v>5167</v>
      </c>
      <c r="D1045" s="26"/>
      <c r="E1045" s="26"/>
    </row>
    <row r="1046" spans="1:5" s="16" customFormat="1" ht="12.95" customHeight="1">
      <c r="A1046" s="26" t="s">
        <v>5168</v>
      </c>
      <c r="B1046" s="26"/>
      <c r="C1046" s="26" t="s">
        <v>5169</v>
      </c>
      <c r="D1046" s="26"/>
      <c r="E1046" s="26"/>
    </row>
    <row r="1047" spans="1:5" s="16" customFormat="1" ht="12.95" customHeight="1">
      <c r="A1047" s="26" t="s">
        <v>5170</v>
      </c>
      <c r="B1047" s="26"/>
      <c r="C1047" s="26" t="s">
        <v>5171</v>
      </c>
      <c r="D1047" s="26"/>
      <c r="E1047" s="26"/>
    </row>
    <row r="1048" spans="1:5" s="16" customFormat="1" ht="12.95" customHeight="1">
      <c r="A1048" s="26" t="s">
        <v>5172</v>
      </c>
      <c r="B1048" s="26"/>
      <c r="C1048" s="26" t="s">
        <v>5173</v>
      </c>
      <c r="D1048" s="26"/>
      <c r="E1048" s="26"/>
    </row>
    <row r="1049" spans="1:5" s="16" customFormat="1" ht="12.95" customHeight="1">
      <c r="A1049" s="26" t="s">
        <v>5174</v>
      </c>
      <c r="B1049" s="26"/>
      <c r="C1049" s="26" t="s">
        <v>5169</v>
      </c>
      <c r="D1049" s="26"/>
      <c r="E1049" s="26"/>
    </row>
    <row r="1050" spans="1:5" s="16" customFormat="1" ht="12.95" customHeight="1">
      <c r="A1050" s="26" t="s">
        <v>5175</v>
      </c>
      <c r="B1050" s="26"/>
      <c r="C1050" s="26" t="s">
        <v>5171</v>
      </c>
      <c r="D1050" s="26"/>
      <c r="E1050" s="26"/>
    </row>
    <row r="1051" spans="1:5" s="16" customFormat="1" ht="12.95" customHeight="1">
      <c r="A1051" s="26" t="s">
        <v>5176</v>
      </c>
      <c r="B1051" s="26"/>
      <c r="C1051" s="26" t="s">
        <v>5173</v>
      </c>
      <c r="D1051" s="26"/>
      <c r="E1051" s="26"/>
    </row>
    <row r="1052" spans="1:5" s="16" customFormat="1" ht="12.95" customHeight="1">
      <c r="A1052" s="26" t="s">
        <v>5177</v>
      </c>
      <c r="B1052" s="26"/>
      <c r="C1052" s="26" t="s">
        <v>5147</v>
      </c>
      <c r="D1052" s="26"/>
      <c r="E1052" s="26"/>
    </row>
    <row r="1053" spans="1:5" s="16" customFormat="1" ht="12.95" customHeight="1">
      <c r="A1053" s="26" t="s">
        <v>5178</v>
      </c>
      <c r="B1053" s="26"/>
      <c r="C1053" s="26" t="s">
        <v>5179</v>
      </c>
      <c r="D1053" s="26"/>
      <c r="E1053" s="26"/>
    </row>
    <row r="1054" spans="1:5" s="16" customFormat="1" ht="12.95" customHeight="1">
      <c r="A1054" s="26" t="s">
        <v>3485</v>
      </c>
      <c r="B1054" s="26"/>
      <c r="C1054" s="26" t="s">
        <v>5180</v>
      </c>
      <c r="D1054" s="26"/>
      <c r="E1054" s="26"/>
    </row>
    <row r="1055" spans="1:5" s="16" customFormat="1" ht="12.95" customHeight="1">
      <c r="A1055" s="26" t="s">
        <v>2458</v>
      </c>
      <c r="B1055" s="26"/>
      <c r="C1055" s="26" t="s">
        <v>5181</v>
      </c>
      <c r="D1055" s="26"/>
      <c r="E1055" s="26"/>
    </row>
    <row r="1056" spans="1:5" s="16" customFormat="1" ht="12.95" customHeight="1">
      <c r="A1056" s="26" t="s">
        <v>5182</v>
      </c>
      <c r="B1056" s="26"/>
      <c r="C1056" s="26" t="s">
        <v>5183</v>
      </c>
      <c r="D1056" s="26"/>
      <c r="E1056" s="26"/>
    </row>
    <row r="1057" spans="1:5" s="16" customFormat="1" ht="12.95" customHeight="1">
      <c r="A1057" s="26" t="s">
        <v>5184</v>
      </c>
      <c r="B1057" s="26"/>
      <c r="C1057" s="26" t="s">
        <v>5185</v>
      </c>
      <c r="D1057" s="26"/>
      <c r="E1057" s="26"/>
    </row>
    <row r="1058" spans="1:5" s="16" customFormat="1" ht="12.95" customHeight="1">
      <c r="A1058" s="26" t="s">
        <v>5186</v>
      </c>
      <c r="B1058" s="26"/>
      <c r="C1058" s="26" t="s">
        <v>5187</v>
      </c>
      <c r="D1058" s="26"/>
      <c r="E1058" s="26"/>
    </row>
    <row r="1059" spans="1:5" s="16" customFormat="1" ht="12.95" customHeight="1">
      <c r="A1059" s="26" t="s">
        <v>5188</v>
      </c>
      <c r="B1059" s="26"/>
      <c r="C1059" s="26" t="s">
        <v>5189</v>
      </c>
      <c r="D1059" s="26"/>
      <c r="E1059" s="26"/>
    </row>
    <row r="1060" spans="1:5" s="16" customFormat="1" ht="12.95" customHeight="1">
      <c r="A1060" s="26" t="s">
        <v>5190</v>
      </c>
      <c r="B1060" s="26"/>
      <c r="C1060" s="26" t="s">
        <v>5191</v>
      </c>
      <c r="D1060" s="26"/>
      <c r="E1060" s="26"/>
    </row>
    <row r="1061" spans="1:5" s="16" customFormat="1" ht="12.95" customHeight="1">
      <c r="A1061" s="26" t="s">
        <v>5192</v>
      </c>
      <c r="B1061" s="26"/>
      <c r="C1061" s="26" t="s">
        <v>5193</v>
      </c>
      <c r="D1061" s="26"/>
      <c r="E1061" s="26"/>
    </row>
    <row r="1062" spans="1:5" s="16" customFormat="1" ht="12.95" customHeight="1">
      <c r="A1062" s="26" t="s">
        <v>5194</v>
      </c>
      <c r="B1062" s="26"/>
      <c r="C1062" s="26" t="s">
        <v>5195</v>
      </c>
      <c r="D1062" s="26"/>
      <c r="E1062" s="26"/>
    </row>
    <row r="1063" spans="1:5" s="16" customFormat="1" ht="12.95" customHeight="1">
      <c r="A1063" s="26" t="s">
        <v>5196</v>
      </c>
      <c r="B1063" s="26"/>
      <c r="C1063" s="26" t="s">
        <v>5193</v>
      </c>
      <c r="D1063" s="26"/>
      <c r="E1063" s="26"/>
    </row>
    <row r="1064" spans="1:5" s="16" customFormat="1" ht="12.95" customHeight="1">
      <c r="A1064" s="26" t="s">
        <v>5197</v>
      </c>
      <c r="B1064" s="26"/>
      <c r="C1064" s="26" t="s">
        <v>5195</v>
      </c>
      <c r="D1064" s="26"/>
      <c r="E1064" s="26"/>
    </row>
    <row r="1065" spans="1:5" s="16" customFormat="1" ht="12.95" customHeight="1">
      <c r="A1065" s="26" t="s">
        <v>5198</v>
      </c>
      <c r="B1065" s="26"/>
      <c r="C1065" s="26" t="s">
        <v>5199</v>
      </c>
      <c r="D1065" s="26"/>
      <c r="E1065" s="26"/>
    </row>
    <row r="1066" spans="1:5" s="16" customFormat="1" ht="12.95" customHeight="1">
      <c r="A1066" s="26" t="s">
        <v>5200</v>
      </c>
      <c r="B1066" s="26"/>
      <c r="C1066" s="26" t="s">
        <v>5201</v>
      </c>
      <c r="D1066" s="26"/>
      <c r="E1066" s="26"/>
    </row>
    <row r="1067" spans="1:5" s="16" customFormat="1" ht="12.95" customHeight="1">
      <c r="A1067" s="26" t="s">
        <v>5202</v>
      </c>
      <c r="B1067" s="26"/>
      <c r="C1067" s="26" t="s">
        <v>5203</v>
      </c>
      <c r="D1067" s="26"/>
      <c r="E1067" s="26"/>
    </row>
    <row r="1068" spans="1:5" s="16" customFormat="1" ht="12.95" customHeight="1">
      <c r="A1068" s="26" t="s">
        <v>5204</v>
      </c>
      <c r="B1068" s="26"/>
      <c r="C1068" s="26" t="s">
        <v>5205</v>
      </c>
      <c r="D1068" s="26"/>
      <c r="E1068" s="26"/>
    </row>
    <row r="1069" spans="1:5" s="16" customFormat="1" ht="12.95" customHeight="1">
      <c r="A1069" s="26" t="s">
        <v>5206</v>
      </c>
      <c r="B1069" s="26"/>
      <c r="C1069" s="26" t="s">
        <v>5207</v>
      </c>
      <c r="D1069" s="26"/>
      <c r="E1069" s="26"/>
    </row>
    <row r="1070" spans="1:5" s="16" customFormat="1" ht="12.95" customHeight="1">
      <c r="A1070" s="26" t="s">
        <v>5208</v>
      </c>
      <c r="B1070" s="26"/>
      <c r="C1070" s="26" t="s">
        <v>5209</v>
      </c>
      <c r="D1070" s="26"/>
      <c r="E1070" s="26"/>
    </row>
    <row r="1071" spans="1:5" s="16" customFormat="1" ht="26.1" customHeight="1">
      <c r="A1071" s="26" t="s">
        <v>5210</v>
      </c>
      <c r="B1071" s="26"/>
      <c r="C1071" s="26" t="s">
        <v>5211</v>
      </c>
      <c r="D1071" s="26"/>
      <c r="E1071" s="26"/>
    </row>
    <row r="1072" spans="1:5" s="16" customFormat="1" ht="12.95" customHeight="1">
      <c r="A1072" s="26" t="s">
        <v>5212</v>
      </c>
      <c r="B1072" s="26"/>
      <c r="C1072" s="26" t="s">
        <v>5213</v>
      </c>
      <c r="D1072" s="26"/>
      <c r="E1072" s="26"/>
    </row>
    <row r="1073" spans="1:5" s="16" customFormat="1" ht="12.95" customHeight="1">
      <c r="A1073" s="26" t="s">
        <v>5214</v>
      </c>
      <c r="B1073" s="26"/>
      <c r="C1073" s="26" t="s">
        <v>5215</v>
      </c>
      <c r="D1073" s="26"/>
      <c r="E1073" s="26"/>
    </row>
    <row r="1074" spans="1:5" s="16" customFormat="1" ht="12.95" customHeight="1">
      <c r="A1074" s="26" t="s">
        <v>5216</v>
      </c>
      <c r="B1074" s="26"/>
      <c r="C1074" s="26" t="s">
        <v>5217</v>
      </c>
      <c r="D1074" s="26"/>
      <c r="E1074" s="26"/>
    </row>
    <row r="1075" spans="1:5" s="16" customFormat="1" ht="12.95" customHeight="1">
      <c r="A1075" s="26" t="s">
        <v>5218</v>
      </c>
      <c r="B1075" s="26"/>
      <c r="C1075" s="26" t="s">
        <v>5219</v>
      </c>
      <c r="D1075" s="26"/>
      <c r="E1075" s="26"/>
    </row>
    <row r="1076" spans="1:5" s="16" customFormat="1" ht="12.95" customHeight="1">
      <c r="A1076" s="26" t="s">
        <v>5220</v>
      </c>
      <c r="B1076" s="26"/>
      <c r="C1076" s="26" t="s">
        <v>5221</v>
      </c>
      <c r="D1076" s="26"/>
      <c r="E1076" s="26"/>
    </row>
    <row r="1077" spans="1:5" s="16" customFormat="1" ht="12.95" customHeight="1">
      <c r="A1077" s="26" t="s">
        <v>878</v>
      </c>
      <c r="B1077" s="26"/>
      <c r="C1077" s="26" t="s">
        <v>5222</v>
      </c>
      <c r="D1077" s="26"/>
      <c r="E1077" s="26"/>
    </row>
    <row r="1078" spans="1:5" s="16" customFormat="1" ht="12.95" customHeight="1">
      <c r="A1078" s="26" t="s">
        <v>5223</v>
      </c>
      <c r="B1078" s="26"/>
      <c r="C1078" s="26" t="s">
        <v>5221</v>
      </c>
      <c r="D1078" s="26"/>
      <c r="E1078" s="26"/>
    </row>
    <row r="1079" spans="1:5" s="16" customFormat="1" ht="12.95" customHeight="1">
      <c r="A1079" s="26" t="s">
        <v>5224</v>
      </c>
      <c r="B1079" s="26"/>
      <c r="C1079" s="26" t="s">
        <v>5222</v>
      </c>
      <c r="D1079" s="26"/>
      <c r="E1079" s="26"/>
    </row>
    <row r="1080" spans="1:5" s="16" customFormat="1" ht="12.95" customHeight="1">
      <c r="A1080" s="26" t="s">
        <v>5225</v>
      </c>
      <c r="B1080" s="26"/>
      <c r="C1080" s="26" t="s">
        <v>5226</v>
      </c>
      <c r="D1080" s="26"/>
      <c r="E1080" s="26"/>
    </row>
    <row r="1081" spans="1:5" s="16" customFormat="1" ht="12.95" customHeight="1">
      <c r="A1081" s="26" t="s">
        <v>5227</v>
      </c>
      <c r="B1081" s="26"/>
      <c r="C1081" s="26" t="s">
        <v>5228</v>
      </c>
      <c r="D1081" s="26"/>
      <c r="E1081" s="26"/>
    </row>
    <row r="1082" spans="1:5" s="16" customFormat="1" ht="12.95" customHeight="1">
      <c r="A1082" s="26" t="s">
        <v>5229</v>
      </c>
      <c r="B1082" s="26"/>
      <c r="C1082" s="26" t="s">
        <v>5230</v>
      </c>
      <c r="D1082" s="26"/>
      <c r="E1082" s="26"/>
    </row>
    <row r="1083" spans="1:5" s="16" customFormat="1" ht="12.95" customHeight="1">
      <c r="A1083" s="26" t="s">
        <v>5231</v>
      </c>
      <c r="B1083" s="26"/>
      <c r="C1083" s="26" t="s">
        <v>5232</v>
      </c>
      <c r="D1083" s="26"/>
      <c r="E1083" s="26"/>
    </row>
    <row r="1084" spans="1:5" s="16" customFormat="1" ht="12.95" customHeight="1">
      <c r="A1084" s="26" t="s">
        <v>5233</v>
      </c>
      <c r="B1084" s="26"/>
      <c r="C1084" s="26" t="s">
        <v>5234</v>
      </c>
      <c r="D1084" s="26"/>
      <c r="E1084" s="26"/>
    </row>
    <row r="1085" spans="1:5" s="16" customFormat="1" ht="12.95" customHeight="1">
      <c r="A1085" s="26" t="s">
        <v>5235</v>
      </c>
      <c r="B1085" s="26"/>
      <c r="C1085" s="26" t="s">
        <v>4793</v>
      </c>
      <c r="D1085" s="26"/>
      <c r="E1085" s="26"/>
    </row>
    <row r="1086" spans="1:5" s="16" customFormat="1" ht="12.95" customHeight="1">
      <c r="A1086" s="26" t="s">
        <v>5236</v>
      </c>
      <c r="B1086" s="26"/>
      <c r="C1086" s="26" t="s">
        <v>5237</v>
      </c>
      <c r="D1086" s="26"/>
      <c r="E1086" s="26"/>
    </row>
    <row r="1087" spans="1:5" s="16" customFormat="1" ht="12.95" customHeight="1">
      <c r="A1087" s="26" t="s">
        <v>5238</v>
      </c>
      <c r="B1087" s="26"/>
      <c r="C1087" s="26" t="s">
        <v>5239</v>
      </c>
      <c r="D1087" s="26"/>
      <c r="E1087" s="26"/>
    </row>
    <row r="1088" spans="1:5" s="16" customFormat="1" ht="12.95" customHeight="1">
      <c r="A1088" s="26" t="s">
        <v>5240</v>
      </c>
      <c r="B1088" s="26"/>
      <c r="C1088" s="26" t="s">
        <v>5241</v>
      </c>
      <c r="D1088" s="26"/>
      <c r="E1088" s="26"/>
    </row>
    <row r="1089" spans="1:5" s="16" customFormat="1" ht="12.95" customHeight="1">
      <c r="A1089" s="26" t="s">
        <v>5242</v>
      </c>
      <c r="B1089" s="26"/>
      <c r="C1089" s="26" t="s">
        <v>5243</v>
      </c>
      <c r="D1089" s="26"/>
      <c r="E1089" s="26"/>
    </row>
    <row r="1090" spans="1:5" s="16" customFormat="1" ht="12.95" customHeight="1">
      <c r="A1090" s="26" t="s">
        <v>5244</v>
      </c>
      <c r="B1090" s="26"/>
      <c r="C1090" s="26" t="s">
        <v>5245</v>
      </c>
      <c r="D1090" s="26"/>
      <c r="E1090" s="26"/>
    </row>
    <row r="1091" spans="1:5" s="16" customFormat="1" ht="12.95" customHeight="1">
      <c r="A1091" s="26" t="s">
        <v>5246</v>
      </c>
      <c r="B1091" s="26"/>
      <c r="C1091" s="26" t="s">
        <v>5247</v>
      </c>
      <c r="D1091" s="26"/>
      <c r="E1091" s="26"/>
    </row>
    <row r="1092" spans="1:5" s="16" customFormat="1" ht="12.95" customHeight="1">
      <c r="A1092" s="26" t="s">
        <v>5248</v>
      </c>
      <c r="B1092" s="26"/>
      <c r="C1092" s="26" t="s">
        <v>5249</v>
      </c>
      <c r="D1092" s="26"/>
      <c r="E1092" s="26"/>
    </row>
    <row r="1093" spans="1:5" s="16" customFormat="1" ht="12.95" customHeight="1">
      <c r="A1093" s="26" t="s">
        <v>5250</v>
      </c>
      <c r="B1093" s="26"/>
      <c r="C1093" s="26" t="s">
        <v>5251</v>
      </c>
      <c r="D1093" s="26"/>
      <c r="E1093" s="26"/>
    </row>
    <row r="1094" spans="1:5" s="16" customFormat="1" ht="12.95" customHeight="1">
      <c r="A1094" s="26" t="s">
        <v>5252</v>
      </c>
      <c r="B1094" s="26"/>
      <c r="C1094" s="26" t="s">
        <v>5253</v>
      </c>
      <c r="D1094" s="26"/>
      <c r="E1094" s="26"/>
    </row>
    <row r="1095" spans="1:5" s="16" customFormat="1" ht="12.95" customHeight="1">
      <c r="A1095" s="26" t="s">
        <v>5254</v>
      </c>
      <c r="B1095" s="26"/>
      <c r="C1095" s="26" t="s">
        <v>5249</v>
      </c>
      <c r="D1095" s="26"/>
      <c r="E1095" s="26"/>
    </row>
    <row r="1096" spans="1:5" s="16" customFormat="1" ht="12.95" customHeight="1">
      <c r="A1096" s="26" t="s">
        <v>5255</v>
      </c>
      <c r="B1096" s="26"/>
      <c r="C1096" s="26" t="s">
        <v>5256</v>
      </c>
      <c r="D1096" s="26"/>
      <c r="E1096" s="26"/>
    </row>
    <row r="1097" spans="1:5" s="16" customFormat="1" ht="12.95" customHeight="1">
      <c r="A1097" s="26" t="s">
        <v>5257</v>
      </c>
      <c r="B1097" s="26"/>
      <c r="C1097" s="26" t="s">
        <v>5258</v>
      </c>
      <c r="D1097" s="26"/>
      <c r="E1097" s="26"/>
    </row>
    <row r="1098" spans="1:5" s="16" customFormat="1" ht="12.95" customHeight="1">
      <c r="A1098" s="26" t="s">
        <v>5259</v>
      </c>
      <c r="B1098" s="26"/>
      <c r="C1098" s="26" t="s">
        <v>5260</v>
      </c>
      <c r="D1098" s="26"/>
      <c r="E1098" s="26"/>
    </row>
    <row r="1099" spans="1:5" s="16" customFormat="1" ht="12.95" customHeight="1">
      <c r="A1099" s="26" t="s">
        <v>5261</v>
      </c>
      <c r="B1099" s="26"/>
      <c r="C1099" s="26" t="s">
        <v>5262</v>
      </c>
      <c r="D1099" s="26"/>
      <c r="E1099" s="26"/>
    </row>
    <row r="1100" spans="1:5" s="16" customFormat="1" ht="12.95" customHeight="1">
      <c r="A1100" s="26" t="s">
        <v>5263</v>
      </c>
      <c r="B1100" s="26"/>
      <c r="C1100" s="26" t="s">
        <v>5264</v>
      </c>
      <c r="D1100" s="26"/>
      <c r="E1100" s="26"/>
    </row>
    <row r="1101" spans="1:5" s="16" customFormat="1" ht="12.95" customHeight="1">
      <c r="A1101" s="26" t="s">
        <v>5265</v>
      </c>
      <c r="B1101" s="26"/>
      <c r="C1101" s="26" t="s">
        <v>5266</v>
      </c>
      <c r="D1101" s="26"/>
      <c r="E1101" s="26"/>
    </row>
    <row r="1102" spans="1:5" s="16" customFormat="1" ht="12.95" customHeight="1">
      <c r="A1102" s="26" t="s">
        <v>5267</v>
      </c>
      <c r="B1102" s="26"/>
      <c r="C1102" s="26" t="s">
        <v>5268</v>
      </c>
      <c r="D1102" s="26"/>
      <c r="E1102" s="26"/>
    </row>
    <row r="1103" spans="1:5" s="16" customFormat="1" ht="12.95" customHeight="1">
      <c r="A1103" s="26" t="s">
        <v>5269</v>
      </c>
      <c r="B1103" s="26"/>
      <c r="C1103" s="26" t="s">
        <v>5270</v>
      </c>
      <c r="D1103" s="26"/>
      <c r="E1103" s="26"/>
    </row>
    <row r="1104" spans="1:5" s="16" customFormat="1" ht="12.95" customHeight="1">
      <c r="A1104" s="26" t="s">
        <v>5271</v>
      </c>
      <c r="B1104" s="26"/>
      <c r="C1104" s="26" t="s">
        <v>5272</v>
      </c>
      <c r="D1104" s="26"/>
      <c r="E1104" s="26"/>
    </row>
    <row r="1105" spans="1:5" s="16" customFormat="1" ht="12.95" customHeight="1">
      <c r="A1105" s="26" t="s">
        <v>5273</v>
      </c>
      <c r="B1105" s="26"/>
      <c r="C1105" s="26" t="s">
        <v>5274</v>
      </c>
      <c r="D1105" s="26"/>
      <c r="E1105" s="26"/>
    </row>
    <row r="1106" spans="1:5" s="16" customFormat="1" ht="12.95" customHeight="1">
      <c r="A1106" s="26" t="s">
        <v>5275</v>
      </c>
      <c r="B1106" s="26"/>
      <c r="C1106" s="26" t="s">
        <v>5276</v>
      </c>
      <c r="D1106" s="26"/>
      <c r="E1106" s="26"/>
    </row>
    <row r="1107" spans="1:5" s="16" customFormat="1" ht="12.95" customHeight="1">
      <c r="A1107" s="26" t="s">
        <v>5277</v>
      </c>
      <c r="B1107" s="26"/>
      <c r="C1107" s="26" t="s">
        <v>5278</v>
      </c>
      <c r="D1107" s="26"/>
      <c r="E1107" s="26"/>
    </row>
    <row r="1108" spans="1:5" s="16" customFormat="1" ht="12.95" customHeight="1">
      <c r="A1108" s="26" t="s">
        <v>5279</v>
      </c>
      <c r="B1108" s="26"/>
      <c r="C1108" s="26" t="s">
        <v>5280</v>
      </c>
      <c r="D1108" s="26"/>
      <c r="E1108" s="26"/>
    </row>
    <row r="1109" spans="1:5" s="16" customFormat="1" ht="12.95" customHeight="1">
      <c r="A1109" s="26" t="s">
        <v>5281</v>
      </c>
      <c r="B1109" s="26"/>
      <c r="C1109" s="26" t="s">
        <v>5282</v>
      </c>
      <c r="D1109" s="26"/>
      <c r="E1109" s="26"/>
    </row>
    <row r="1110" spans="1:5" s="16" customFormat="1" ht="12.95" customHeight="1">
      <c r="A1110" s="26" t="s">
        <v>5283</v>
      </c>
      <c r="B1110" s="26"/>
      <c r="C1110" s="26" t="s">
        <v>5284</v>
      </c>
      <c r="D1110" s="26"/>
      <c r="E1110" s="26"/>
    </row>
    <row r="1111" spans="1:5" s="16" customFormat="1" ht="12.95" customHeight="1">
      <c r="A1111" s="26" t="s">
        <v>5285</v>
      </c>
      <c r="B1111" s="26"/>
      <c r="C1111" s="26" t="s">
        <v>5286</v>
      </c>
      <c r="D1111" s="26"/>
      <c r="E1111" s="26"/>
    </row>
    <row r="1112" spans="1:5" s="16" customFormat="1" ht="12.95" customHeight="1">
      <c r="A1112" s="26" t="s">
        <v>5287</v>
      </c>
      <c r="B1112" s="26"/>
      <c r="C1112" s="26" t="s">
        <v>5288</v>
      </c>
      <c r="D1112" s="26"/>
      <c r="E1112" s="26"/>
    </row>
    <row r="1113" spans="1:5" s="16" customFormat="1" ht="12.95" customHeight="1">
      <c r="A1113" s="26" t="s">
        <v>5289</v>
      </c>
      <c r="B1113" s="26"/>
      <c r="C1113" s="26" t="s">
        <v>5290</v>
      </c>
      <c r="D1113" s="26"/>
      <c r="E1113" s="26"/>
    </row>
    <row r="1114" spans="1:5" s="16" customFormat="1" ht="12.95" customHeight="1">
      <c r="A1114" s="26" t="s">
        <v>5291</v>
      </c>
      <c r="B1114" s="26"/>
      <c r="C1114" s="26" t="s">
        <v>5292</v>
      </c>
      <c r="D1114" s="26"/>
      <c r="E1114" s="26"/>
    </row>
    <row r="1115" spans="1:5" s="16" customFormat="1" ht="12.95" customHeight="1">
      <c r="A1115" s="26" t="s">
        <v>5293</v>
      </c>
      <c r="B1115" s="26"/>
      <c r="C1115" s="26" t="s">
        <v>5294</v>
      </c>
      <c r="D1115" s="26"/>
      <c r="E1115" s="26"/>
    </row>
    <row r="1116" spans="1:5" s="16" customFormat="1" ht="12.95" customHeight="1">
      <c r="A1116" s="26" t="s">
        <v>5295</v>
      </c>
      <c r="B1116" s="26"/>
      <c r="C1116" s="26" t="s">
        <v>5296</v>
      </c>
      <c r="D1116" s="26"/>
      <c r="E1116" s="26"/>
    </row>
    <row r="1117" spans="1:5" s="16" customFormat="1" ht="12.95" customHeight="1">
      <c r="A1117" s="26" t="s">
        <v>5297</v>
      </c>
      <c r="B1117" s="26"/>
      <c r="C1117" s="26" t="s">
        <v>5294</v>
      </c>
      <c r="D1117" s="26"/>
      <c r="E1117" s="26"/>
    </row>
    <row r="1118" spans="1:5" s="16" customFormat="1" ht="12.95" customHeight="1">
      <c r="A1118" s="26" t="s">
        <v>5298</v>
      </c>
      <c r="B1118" s="26"/>
      <c r="C1118" s="26" t="s">
        <v>5296</v>
      </c>
      <c r="D1118" s="26"/>
      <c r="E1118" s="26"/>
    </row>
    <row r="1119" spans="1:5" s="16" customFormat="1" ht="12.95" customHeight="1">
      <c r="A1119" s="26" t="s">
        <v>5299</v>
      </c>
      <c r="B1119" s="26"/>
      <c r="C1119" s="26" t="s">
        <v>5300</v>
      </c>
      <c r="D1119" s="26"/>
      <c r="E1119" s="26"/>
    </row>
    <row r="1120" spans="1:5" s="16" customFormat="1" ht="26.1" customHeight="1">
      <c r="A1120" s="26" t="s">
        <v>5301</v>
      </c>
      <c r="B1120" s="26"/>
      <c r="C1120" s="26" t="s">
        <v>5302</v>
      </c>
      <c r="D1120" s="26"/>
      <c r="E1120" s="26"/>
    </row>
    <row r="1121" spans="1:5" s="16" customFormat="1" ht="12.95" customHeight="1">
      <c r="A1121" s="26" t="s">
        <v>5303</v>
      </c>
      <c r="B1121" s="26"/>
      <c r="C1121" s="26" t="s">
        <v>5304</v>
      </c>
      <c r="D1121" s="26"/>
      <c r="E1121" s="26"/>
    </row>
    <row r="1122" spans="1:5" s="16" customFormat="1" ht="12.95" customHeight="1">
      <c r="A1122" s="26" t="s">
        <v>5305</v>
      </c>
      <c r="B1122" s="26"/>
      <c r="C1122" s="26" t="s">
        <v>5306</v>
      </c>
      <c r="D1122" s="26"/>
      <c r="E1122" s="26"/>
    </row>
    <row r="1123" spans="1:5" s="16" customFormat="1" ht="12.95" customHeight="1">
      <c r="A1123" s="26" t="s">
        <v>5307</v>
      </c>
      <c r="B1123" s="26"/>
      <c r="C1123" s="26" t="s">
        <v>5308</v>
      </c>
      <c r="D1123" s="26"/>
      <c r="E1123" s="26"/>
    </row>
    <row r="1124" spans="1:5" s="16" customFormat="1" ht="12.95" customHeight="1">
      <c r="A1124" s="26" t="s">
        <v>5309</v>
      </c>
      <c r="B1124" s="26"/>
      <c r="C1124" s="26" t="s">
        <v>5310</v>
      </c>
      <c r="D1124" s="26"/>
      <c r="E1124" s="26"/>
    </row>
    <row r="1125" spans="1:5" s="16" customFormat="1" ht="12.95" customHeight="1">
      <c r="A1125" s="26" t="s">
        <v>5311</v>
      </c>
      <c r="B1125" s="26"/>
      <c r="C1125" s="26" t="s">
        <v>5312</v>
      </c>
      <c r="D1125" s="26"/>
      <c r="E1125" s="26"/>
    </row>
    <row r="1126" spans="1:5" s="16" customFormat="1" ht="12.95" customHeight="1">
      <c r="A1126" s="26" t="s">
        <v>5311</v>
      </c>
      <c r="B1126" s="26"/>
      <c r="C1126" s="26" t="s">
        <v>5312</v>
      </c>
      <c r="D1126" s="26"/>
      <c r="E1126" s="26"/>
    </row>
    <row r="1127" spans="1:5" s="16" customFormat="1" ht="12.95" customHeight="1">
      <c r="A1127" s="26" t="s">
        <v>5313</v>
      </c>
      <c r="B1127" s="26"/>
      <c r="C1127" s="26" t="s">
        <v>5314</v>
      </c>
      <c r="D1127" s="26"/>
      <c r="E1127" s="26"/>
    </row>
    <row r="1128" spans="1:5" s="16" customFormat="1" ht="12.95" customHeight="1">
      <c r="A1128" s="26" t="s">
        <v>5315</v>
      </c>
      <c r="B1128" s="26"/>
      <c r="C1128" s="26" t="s">
        <v>5316</v>
      </c>
      <c r="D1128" s="26"/>
      <c r="E1128" s="26"/>
    </row>
    <row r="1129" spans="1:5" s="16" customFormat="1" ht="12.95" customHeight="1">
      <c r="A1129" s="26" t="s">
        <v>5317</v>
      </c>
      <c r="B1129" s="26"/>
      <c r="C1129" s="26" t="s">
        <v>5318</v>
      </c>
      <c r="D1129" s="26"/>
      <c r="E1129" s="26"/>
    </row>
    <row r="1130" spans="1:5" s="16" customFormat="1" ht="12.95" customHeight="1">
      <c r="A1130" s="26" t="s">
        <v>5319</v>
      </c>
      <c r="B1130" s="26"/>
      <c r="C1130" s="26" t="s">
        <v>5320</v>
      </c>
      <c r="D1130" s="26"/>
      <c r="E1130" s="26"/>
    </row>
    <row r="1131" spans="1:5" s="16" customFormat="1" ht="12.95" customHeight="1">
      <c r="A1131" s="26" t="s">
        <v>5321</v>
      </c>
      <c r="B1131" s="26"/>
      <c r="C1131" s="26" t="s">
        <v>5322</v>
      </c>
      <c r="D1131" s="26"/>
      <c r="E1131" s="26"/>
    </row>
    <row r="1132" spans="1:5" s="16" customFormat="1" ht="12.95" customHeight="1">
      <c r="A1132" s="26" t="s">
        <v>5323</v>
      </c>
      <c r="B1132" s="26"/>
      <c r="C1132" s="26" t="s">
        <v>5324</v>
      </c>
      <c r="D1132" s="26"/>
      <c r="E1132" s="26"/>
    </row>
    <row r="1133" spans="1:5" s="16" customFormat="1" ht="12.95" customHeight="1">
      <c r="A1133" s="26" t="s">
        <v>5325</v>
      </c>
      <c r="B1133" s="26"/>
      <c r="C1133" s="26" t="s">
        <v>5322</v>
      </c>
      <c r="D1133" s="26"/>
      <c r="E1133" s="26"/>
    </row>
    <row r="1134" spans="1:5" s="16" customFormat="1" ht="12.95" customHeight="1">
      <c r="A1134" s="26" t="s">
        <v>5326</v>
      </c>
      <c r="B1134" s="26"/>
      <c r="C1134" s="26" t="s">
        <v>5324</v>
      </c>
      <c r="D1134" s="26"/>
      <c r="E1134" s="26"/>
    </row>
    <row r="1135" spans="1:5" s="16" customFormat="1" ht="12.95" customHeight="1">
      <c r="A1135" s="26" t="s">
        <v>5327</v>
      </c>
      <c r="B1135" s="26"/>
      <c r="C1135" s="26" t="s">
        <v>5328</v>
      </c>
      <c r="D1135" s="26"/>
      <c r="E1135" s="26"/>
    </row>
    <row r="1136" spans="1:5" s="16" customFormat="1" ht="12.95" customHeight="1">
      <c r="A1136" s="26" t="s">
        <v>5329</v>
      </c>
      <c r="B1136" s="26"/>
      <c r="C1136" s="26" t="s">
        <v>5330</v>
      </c>
      <c r="D1136" s="26"/>
      <c r="E1136" s="26"/>
    </row>
    <row r="1137" spans="1:5" s="16" customFormat="1" ht="12.95" customHeight="1">
      <c r="A1137" s="26" t="s">
        <v>5331</v>
      </c>
      <c r="B1137" s="26"/>
      <c r="C1137" s="26" t="s">
        <v>5332</v>
      </c>
      <c r="D1137" s="26"/>
      <c r="E1137" s="26"/>
    </row>
    <row r="1138" spans="1:5" s="16" customFormat="1" ht="12.95" customHeight="1">
      <c r="A1138" s="26" t="s">
        <v>5333</v>
      </c>
      <c r="B1138" s="26"/>
      <c r="C1138" s="26" t="s">
        <v>5334</v>
      </c>
      <c r="D1138" s="26"/>
      <c r="E1138" s="26"/>
    </row>
    <row r="1139" spans="1:5" s="16" customFormat="1" ht="12.95" customHeight="1">
      <c r="A1139" s="26" t="s">
        <v>5335</v>
      </c>
      <c r="B1139" s="26"/>
      <c r="C1139" s="26" t="s">
        <v>5314</v>
      </c>
      <c r="D1139" s="26"/>
      <c r="E1139" s="26"/>
    </row>
    <row r="1140" spans="1:5" s="16" customFormat="1" ht="12.95" customHeight="1">
      <c r="A1140" s="26" t="s">
        <v>5336</v>
      </c>
      <c r="B1140" s="26"/>
      <c r="C1140" s="26" t="s">
        <v>5318</v>
      </c>
      <c r="D1140" s="26"/>
      <c r="E1140" s="26"/>
    </row>
    <row r="1141" spans="1:5" s="16" customFormat="1" ht="12.95" customHeight="1">
      <c r="A1141" s="26" t="s">
        <v>5337</v>
      </c>
      <c r="B1141" s="26"/>
      <c r="C1141" s="26" t="s">
        <v>5320</v>
      </c>
      <c r="D1141" s="26"/>
      <c r="E1141" s="26"/>
    </row>
    <row r="1142" spans="1:5" s="16" customFormat="1" ht="12.95" customHeight="1">
      <c r="A1142" s="26" t="s">
        <v>5338</v>
      </c>
      <c r="B1142" s="26"/>
      <c r="C1142" s="26" t="s">
        <v>5339</v>
      </c>
      <c r="D1142" s="26"/>
      <c r="E1142" s="26"/>
    </row>
    <row r="1143" spans="1:5" s="16" customFormat="1" ht="12.95" customHeight="1">
      <c r="A1143" s="26" t="s">
        <v>5340</v>
      </c>
      <c r="B1143" s="26"/>
      <c r="C1143" s="26" t="s">
        <v>5341</v>
      </c>
      <c r="D1143" s="26"/>
      <c r="E1143" s="26"/>
    </row>
    <row r="1144" spans="1:5" s="16" customFormat="1" ht="12.95" customHeight="1">
      <c r="A1144" s="26" t="s">
        <v>5342</v>
      </c>
      <c r="B1144" s="26"/>
      <c r="C1144" s="26" t="s">
        <v>5343</v>
      </c>
      <c r="D1144" s="26"/>
      <c r="E1144" s="26"/>
    </row>
    <row r="1145" spans="1:5" s="16" customFormat="1" ht="12.95" customHeight="1">
      <c r="A1145" s="26" t="s">
        <v>5344</v>
      </c>
      <c r="B1145" s="26"/>
      <c r="C1145" s="26" t="s">
        <v>5345</v>
      </c>
      <c r="D1145" s="26"/>
      <c r="E1145" s="26"/>
    </row>
    <row r="1146" spans="1:5" s="16" customFormat="1" ht="12.95" customHeight="1">
      <c r="A1146" s="26" t="s">
        <v>5346</v>
      </c>
      <c r="B1146" s="26"/>
      <c r="C1146" s="26" t="s">
        <v>5347</v>
      </c>
      <c r="D1146" s="26"/>
      <c r="E1146" s="26"/>
    </row>
    <row r="1147" spans="1:5" s="16" customFormat="1" ht="12.95" customHeight="1">
      <c r="A1147" s="26" t="s">
        <v>5348</v>
      </c>
      <c r="B1147" s="26"/>
      <c r="C1147" s="26" t="s">
        <v>5349</v>
      </c>
      <c r="D1147" s="26"/>
      <c r="E1147" s="26"/>
    </row>
    <row r="1148" spans="1:5" s="16" customFormat="1" ht="12.95" customHeight="1">
      <c r="A1148" s="26" t="s">
        <v>5350</v>
      </c>
      <c r="B1148" s="26"/>
      <c r="C1148" s="26" t="s">
        <v>5351</v>
      </c>
      <c r="D1148" s="26"/>
      <c r="E1148" s="26"/>
    </row>
    <row r="1149" spans="1:5" s="16" customFormat="1" ht="12.95" customHeight="1">
      <c r="A1149" s="26" t="s">
        <v>5352</v>
      </c>
      <c r="B1149" s="26"/>
      <c r="C1149" s="26" t="s">
        <v>5345</v>
      </c>
      <c r="D1149" s="26"/>
      <c r="E1149" s="26"/>
    </row>
    <row r="1150" spans="1:5" s="16" customFormat="1" ht="12.95" customHeight="1">
      <c r="A1150" s="26" t="s">
        <v>5353</v>
      </c>
      <c r="B1150" s="26"/>
      <c r="C1150" s="26" t="s">
        <v>5354</v>
      </c>
      <c r="D1150" s="26"/>
      <c r="E1150" s="26"/>
    </row>
    <row r="1151" spans="1:5" s="16" customFormat="1" ht="12.95" customHeight="1">
      <c r="A1151" s="26" t="s">
        <v>5355</v>
      </c>
      <c r="B1151" s="26"/>
      <c r="C1151" s="26" t="s">
        <v>5347</v>
      </c>
      <c r="D1151" s="26"/>
      <c r="E1151" s="26"/>
    </row>
    <row r="1152" spans="1:5" s="16" customFormat="1" ht="12.95" customHeight="1">
      <c r="A1152" s="26" t="s">
        <v>5356</v>
      </c>
      <c r="B1152" s="26"/>
      <c r="C1152" s="26" t="s">
        <v>5349</v>
      </c>
      <c r="D1152" s="26"/>
      <c r="E1152" s="26"/>
    </row>
    <row r="1153" spans="1:5" s="16" customFormat="1" ht="12.95" customHeight="1">
      <c r="A1153" s="26" t="s">
        <v>5357</v>
      </c>
      <c r="B1153" s="26"/>
      <c r="C1153" s="26" t="s">
        <v>5351</v>
      </c>
      <c r="D1153" s="26"/>
      <c r="E1153" s="26"/>
    </row>
    <row r="1154" spans="1:5" s="16" customFormat="1" ht="12.95" customHeight="1">
      <c r="A1154" s="26" t="s">
        <v>5358</v>
      </c>
      <c r="B1154" s="26"/>
      <c r="C1154" s="26" t="s">
        <v>5359</v>
      </c>
      <c r="D1154" s="26"/>
      <c r="E1154" s="26"/>
    </row>
    <row r="1155" spans="1:5" s="16" customFormat="1" ht="12.95" customHeight="1">
      <c r="A1155" s="26" t="s">
        <v>5360</v>
      </c>
      <c r="B1155" s="26"/>
      <c r="C1155" s="26" t="s">
        <v>5361</v>
      </c>
      <c r="D1155" s="26"/>
      <c r="E1155" s="26"/>
    </row>
    <row r="1156" spans="1:5" s="16" customFormat="1" ht="12.95" customHeight="1">
      <c r="A1156" s="26" t="s">
        <v>5362</v>
      </c>
      <c r="B1156" s="26"/>
      <c r="C1156" s="26" t="s">
        <v>5349</v>
      </c>
      <c r="D1156" s="26"/>
      <c r="E1156" s="26"/>
    </row>
    <row r="1157" spans="1:5" s="16" customFormat="1" ht="12.95" customHeight="1">
      <c r="A1157" s="26" t="s">
        <v>5363</v>
      </c>
      <c r="B1157" s="26"/>
      <c r="C1157" s="26" t="s">
        <v>5364</v>
      </c>
      <c r="D1157" s="26"/>
      <c r="E1157" s="26"/>
    </row>
    <row r="1158" spans="1:5" s="16" customFormat="1" ht="12.95" customHeight="1">
      <c r="A1158" s="26" t="s">
        <v>5365</v>
      </c>
      <c r="B1158" s="26"/>
      <c r="C1158" s="26" t="s">
        <v>5366</v>
      </c>
      <c r="D1158" s="26"/>
      <c r="E1158" s="26"/>
    </row>
    <row r="1159" spans="1:5" s="16" customFormat="1" ht="12.95" customHeight="1">
      <c r="A1159" s="26" t="s">
        <v>5367</v>
      </c>
      <c r="B1159" s="26"/>
      <c r="C1159" s="26" t="s">
        <v>5368</v>
      </c>
      <c r="D1159" s="26"/>
      <c r="E1159" s="26"/>
    </row>
    <row r="1160" spans="1:5" s="16" customFormat="1" ht="12.95" customHeight="1">
      <c r="A1160" s="26" t="s">
        <v>5369</v>
      </c>
      <c r="B1160" s="26"/>
      <c r="C1160" s="26" t="s">
        <v>5370</v>
      </c>
      <c r="D1160" s="26"/>
      <c r="E1160" s="26"/>
    </row>
    <row r="1161" spans="1:5" s="16" customFormat="1" ht="12.95" customHeight="1">
      <c r="A1161" s="26" t="s">
        <v>5371</v>
      </c>
      <c r="B1161" s="26"/>
      <c r="C1161" s="26" t="s">
        <v>5368</v>
      </c>
      <c r="D1161" s="26"/>
      <c r="E1161" s="26"/>
    </row>
    <row r="1162" spans="1:5" s="16" customFormat="1" ht="12.95" customHeight="1">
      <c r="A1162" s="26" t="s">
        <v>5372</v>
      </c>
      <c r="B1162" s="26"/>
      <c r="C1162" s="26" t="s">
        <v>5373</v>
      </c>
      <c r="D1162" s="26"/>
      <c r="E1162" s="26"/>
    </row>
    <row r="1163" spans="1:5" s="16" customFormat="1" ht="12.95" customHeight="1">
      <c r="A1163" s="26" t="s">
        <v>5374</v>
      </c>
      <c r="B1163" s="26"/>
      <c r="C1163" s="26" t="s">
        <v>5375</v>
      </c>
      <c r="D1163" s="26"/>
      <c r="E1163" s="26"/>
    </row>
    <row r="1164" spans="1:5" s="16" customFormat="1" ht="12.95" customHeight="1">
      <c r="A1164" s="26" t="s">
        <v>5376</v>
      </c>
      <c r="B1164" s="26"/>
      <c r="C1164" s="26" t="s">
        <v>5377</v>
      </c>
      <c r="D1164" s="26"/>
      <c r="E1164" s="26"/>
    </row>
    <row r="1165" spans="1:5" s="16" customFormat="1" ht="12.95" customHeight="1">
      <c r="A1165" s="26" t="s">
        <v>5378</v>
      </c>
      <c r="B1165" s="26"/>
      <c r="C1165" s="26" t="s">
        <v>5379</v>
      </c>
      <c r="D1165" s="26"/>
      <c r="E1165" s="26"/>
    </row>
    <row r="1166" spans="1:5" s="16" customFormat="1" ht="12.95" customHeight="1">
      <c r="A1166" s="26" t="s">
        <v>5380</v>
      </c>
      <c r="B1166" s="26"/>
      <c r="C1166" s="26" t="s">
        <v>5381</v>
      </c>
      <c r="D1166" s="26"/>
      <c r="E1166" s="26"/>
    </row>
    <row r="1167" spans="1:5" s="16" customFormat="1" ht="12.95" customHeight="1">
      <c r="A1167" s="26" t="s">
        <v>5382</v>
      </c>
      <c r="B1167" s="26"/>
      <c r="C1167" s="26" t="s">
        <v>5383</v>
      </c>
      <c r="D1167" s="26"/>
      <c r="E1167" s="26"/>
    </row>
    <row r="1168" spans="1:5" s="16" customFormat="1" ht="12.95" customHeight="1">
      <c r="A1168" s="26" t="s">
        <v>5384</v>
      </c>
      <c r="B1168" s="26"/>
      <c r="C1168" s="26" t="s">
        <v>5377</v>
      </c>
      <c r="D1168" s="26"/>
      <c r="E1168" s="26"/>
    </row>
    <row r="1169" spans="1:5" s="16" customFormat="1" ht="12.95" customHeight="1">
      <c r="A1169" s="26" t="s">
        <v>5385</v>
      </c>
      <c r="B1169" s="26"/>
      <c r="C1169" s="26" t="s">
        <v>5379</v>
      </c>
      <c r="D1169" s="26"/>
      <c r="E1169" s="26"/>
    </row>
    <row r="1170" spans="1:5" s="16" customFormat="1" ht="12.95" customHeight="1">
      <c r="A1170" s="26" t="s">
        <v>5386</v>
      </c>
      <c r="B1170" s="26"/>
      <c r="C1170" s="26" t="s">
        <v>5381</v>
      </c>
      <c r="D1170" s="26"/>
      <c r="E1170" s="26"/>
    </row>
    <row r="1171" spans="1:5" s="16" customFormat="1" ht="12.95" customHeight="1">
      <c r="A1171" s="26" t="s">
        <v>5387</v>
      </c>
      <c r="B1171" s="26"/>
      <c r="C1171" s="26" t="s">
        <v>5383</v>
      </c>
      <c r="D1171" s="26"/>
      <c r="E1171" s="26"/>
    </row>
    <row r="1172" spans="1:5" s="16" customFormat="1" ht="12.95" customHeight="1">
      <c r="A1172" s="26" t="s">
        <v>5388</v>
      </c>
      <c r="B1172" s="26"/>
      <c r="C1172" s="26" t="s">
        <v>5389</v>
      </c>
      <c r="D1172" s="26"/>
      <c r="E1172" s="26"/>
    </row>
    <row r="1173" spans="1:5" s="16" customFormat="1" ht="12.95" customHeight="1">
      <c r="A1173" s="26" t="s">
        <v>5390</v>
      </c>
      <c r="B1173" s="26"/>
      <c r="C1173" s="26" t="s">
        <v>5391</v>
      </c>
      <c r="D1173" s="26"/>
      <c r="E1173" s="26"/>
    </row>
    <row r="1174" spans="1:5" s="16" customFormat="1" ht="12.95" customHeight="1">
      <c r="A1174" s="26" t="s">
        <v>5392</v>
      </c>
      <c r="B1174" s="26"/>
      <c r="C1174" s="26" t="s">
        <v>5393</v>
      </c>
      <c r="D1174" s="26"/>
      <c r="E1174" s="26"/>
    </row>
    <row r="1175" spans="1:5" s="16" customFormat="1" ht="12.95" customHeight="1">
      <c r="A1175" s="26" t="s">
        <v>5394</v>
      </c>
      <c r="B1175" s="26"/>
      <c r="C1175" s="26" t="s">
        <v>5395</v>
      </c>
      <c r="D1175" s="26"/>
      <c r="E1175" s="26"/>
    </row>
    <row r="1176" spans="1:5" s="16" customFormat="1" ht="12.95" customHeight="1">
      <c r="A1176" s="26" t="s">
        <v>5396</v>
      </c>
      <c r="B1176" s="26"/>
      <c r="C1176" s="26" t="s">
        <v>5397</v>
      </c>
      <c r="D1176" s="26"/>
      <c r="E1176" s="26"/>
    </row>
    <row r="1177" spans="1:5" s="16" customFormat="1" ht="12.95" customHeight="1">
      <c r="A1177" s="26" t="s">
        <v>5398</v>
      </c>
      <c r="B1177" s="26"/>
      <c r="C1177" s="26" t="s">
        <v>5399</v>
      </c>
      <c r="D1177" s="26"/>
      <c r="E1177" s="26"/>
    </row>
    <row r="1178" spans="1:5" s="16" customFormat="1" ht="12.95" customHeight="1">
      <c r="A1178" s="26" t="s">
        <v>5400</v>
      </c>
      <c r="B1178" s="26"/>
      <c r="C1178" s="26" t="s">
        <v>5399</v>
      </c>
      <c r="D1178" s="26"/>
      <c r="E1178" s="26"/>
    </row>
    <row r="1179" spans="1:5" s="16" customFormat="1" ht="12.95" customHeight="1">
      <c r="A1179" s="26" t="s">
        <v>5401</v>
      </c>
      <c r="B1179" s="26"/>
      <c r="C1179" s="26" t="s">
        <v>5402</v>
      </c>
      <c r="D1179" s="26"/>
      <c r="E1179" s="26"/>
    </row>
    <row r="1180" spans="1:5" s="16" customFormat="1" ht="12.95" customHeight="1">
      <c r="A1180" s="26" t="s">
        <v>453</v>
      </c>
      <c r="B1180" s="26"/>
      <c r="C1180" s="26" t="s">
        <v>5403</v>
      </c>
      <c r="D1180" s="26"/>
      <c r="E1180" s="26"/>
    </row>
    <row r="1181" spans="1:5" s="16" customFormat="1" ht="12.95" customHeight="1">
      <c r="A1181" s="26" t="s">
        <v>5404</v>
      </c>
      <c r="B1181" s="26"/>
      <c r="C1181" s="26" t="s">
        <v>5405</v>
      </c>
      <c r="D1181" s="26"/>
      <c r="E1181" s="26"/>
    </row>
    <row r="1182" spans="1:5" s="16" customFormat="1" ht="12.95" customHeight="1">
      <c r="A1182" s="26" t="s">
        <v>5406</v>
      </c>
      <c r="B1182" s="26"/>
      <c r="C1182" s="26" t="s">
        <v>5403</v>
      </c>
      <c r="D1182" s="26"/>
      <c r="E1182" s="26"/>
    </row>
    <row r="1183" spans="1:5" s="16" customFormat="1" ht="12.95" customHeight="1">
      <c r="A1183" s="26" t="s">
        <v>5407</v>
      </c>
      <c r="B1183" s="26"/>
      <c r="C1183" s="26" t="s">
        <v>5408</v>
      </c>
      <c r="D1183" s="26"/>
      <c r="E1183" s="26"/>
    </row>
    <row r="1184" spans="1:5" s="16" customFormat="1" ht="12.95" customHeight="1">
      <c r="A1184" s="26" t="s">
        <v>5409</v>
      </c>
      <c r="B1184" s="26"/>
      <c r="C1184" s="26" t="s">
        <v>5410</v>
      </c>
      <c r="D1184" s="26"/>
      <c r="E1184" s="26"/>
    </row>
    <row r="1185" spans="1:5" s="16" customFormat="1" ht="12.95" customHeight="1">
      <c r="A1185" s="26" t="s">
        <v>5411</v>
      </c>
      <c r="B1185" s="26"/>
      <c r="C1185" s="26" t="s">
        <v>5412</v>
      </c>
      <c r="D1185" s="26"/>
      <c r="E1185" s="26"/>
    </row>
    <row r="1186" spans="1:5" s="16" customFormat="1" ht="12.95" customHeight="1">
      <c r="A1186" s="26" t="s">
        <v>5413</v>
      </c>
      <c r="B1186" s="26"/>
      <c r="C1186" s="26" t="s">
        <v>5412</v>
      </c>
      <c r="D1186" s="26"/>
      <c r="E1186" s="26"/>
    </row>
    <row r="1187" spans="1:5" s="16" customFormat="1" ht="12.95" customHeight="1">
      <c r="A1187" s="26" t="s">
        <v>5414</v>
      </c>
      <c r="B1187" s="26"/>
      <c r="C1187" s="26" t="s">
        <v>5415</v>
      </c>
      <c r="D1187" s="26"/>
      <c r="E1187" s="26"/>
    </row>
    <row r="1188" spans="1:5" s="16" customFormat="1" ht="12.95" customHeight="1">
      <c r="A1188" s="26" t="s">
        <v>5416</v>
      </c>
      <c r="B1188" s="26"/>
      <c r="C1188" s="26" t="s">
        <v>5417</v>
      </c>
      <c r="D1188" s="26"/>
      <c r="E1188" s="26"/>
    </row>
    <row r="1189" spans="1:5" s="16" customFormat="1" ht="12.95" customHeight="1">
      <c r="A1189" s="26" t="s">
        <v>5418</v>
      </c>
      <c r="B1189" s="26"/>
      <c r="C1189" s="26" t="s">
        <v>5419</v>
      </c>
      <c r="D1189" s="26"/>
      <c r="E1189" s="26"/>
    </row>
    <row r="1190" spans="1:5" s="16" customFormat="1" ht="12.95" customHeight="1">
      <c r="A1190" s="26" t="s">
        <v>5420</v>
      </c>
      <c r="B1190" s="26"/>
      <c r="C1190" s="26" t="s">
        <v>5421</v>
      </c>
      <c r="D1190" s="26"/>
      <c r="E1190" s="26"/>
    </row>
    <row r="1191" spans="1:5" s="16" customFormat="1" ht="12.95" customHeight="1">
      <c r="A1191" s="26" t="s">
        <v>5422</v>
      </c>
      <c r="B1191" s="26"/>
      <c r="C1191" s="26" t="s">
        <v>5423</v>
      </c>
      <c r="D1191" s="26"/>
      <c r="E1191" s="26"/>
    </row>
    <row r="1192" spans="1:5" s="16" customFormat="1" ht="12.95" customHeight="1">
      <c r="A1192" s="26" t="s">
        <v>5424</v>
      </c>
      <c r="B1192" s="26"/>
      <c r="C1192" s="26" t="s">
        <v>5425</v>
      </c>
      <c r="D1192" s="26"/>
      <c r="E1192" s="26"/>
    </row>
    <row r="1193" spans="1:5" s="16" customFormat="1" ht="12.95" customHeight="1">
      <c r="A1193" s="26" t="s">
        <v>5426</v>
      </c>
      <c r="B1193" s="26"/>
      <c r="C1193" s="26" t="s">
        <v>5427</v>
      </c>
      <c r="D1193" s="26"/>
      <c r="E1193" s="26"/>
    </row>
    <row r="1194" spans="1:5" s="16" customFormat="1" ht="12.95" customHeight="1">
      <c r="A1194" s="26" t="s">
        <v>5428</v>
      </c>
      <c r="B1194" s="26"/>
      <c r="C1194" s="26" t="s">
        <v>5429</v>
      </c>
      <c r="D1194" s="26"/>
      <c r="E1194" s="26"/>
    </row>
    <row r="1195" spans="1:5" s="16" customFormat="1" ht="12.95" customHeight="1">
      <c r="A1195" s="26" t="s">
        <v>5430</v>
      </c>
      <c r="B1195" s="26"/>
      <c r="C1195" s="26" t="s">
        <v>5431</v>
      </c>
      <c r="D1195" s="26"/>
      <c r="E1195" s="26"/>
    </row>
    <row r="1196" spans="1:5" s="16" customFormat="1" ht="12.95" customHeight="1">
      <c r="A1196" s="26" t="s">
        <v>5432</v>
      </c>
      <c r="B1196" s="26"/>
      <c r="C1196" s="26" t="s">
        <v>5433</v>
      </c>
      <c r="D1196" s="26"/>
      <c r="E1196" s="26"/>
    </row>
    <row r="1197" spans="1:5" s="16" customFormat="1" ht="12.95" customHeight="1">
      <c r="A1197" s="26" t="s">
        <v>5434</v>
      </c>
      <c r="B1197" s="26"/>
      <c r="C1197" s="26" t="s">
        <v>5435</v>
      </c>
      <c r="D1197" s="26"/>
      <c r="E1197" s="26"/>
    </row>
    <row r="1198" spans="1:5" s="16" customFormat="1" ht="12.95" customHeight="1">
      <c r="A1198" s="26" t="s">
        <v>5436</v>
      </c>
      <c r="B1198" s="26"/>
      <c r="C1198" s="26" t="s">
        <v>5437</v>
      </c>
      <c r="D1198" s="26"/>
      <c r="E1198" s="26"/>
    </row>
    <row r="1199" spans="1:5" s="16" customFormat="1" ht="12.95" customHeight="1">
      <c r="A1199" s="26" t="s">
        <v>5438</v>
      </c>
      <c r="B1199" s="26"/>
      <c r="C1199" s="26" t="s">
        <v>5439</v>
      </c>
      <c r="D1199" s="26"/>
      <c r="E1199" s="26"/>
    </row>
    <row r="1200" spans="1:5" s="16" customFormat="1" ht="12.95" customHeight="1">
      <c r="A1200" s="26" t="s">
        <v>5440</v>
      </c>
      <c r="B1200" s="26"/>
      <c r="C1200" s="26" t="s">
        <v>5441</v>
      </c>
      <c r="D1200" s="26"/>
      <c r="E1200" s="26"/>
    </row>
    <row r="1201" spans="1:5" s="16" customFormat="1" ht="12.95" customHeight="1">
      <c r="A1201" s="26" t="s">
        <v>5442</v>
      </c>
      <c r="B1201" s="26"/>
      <c r="C1201" s="26" t="s">
        <v>5443</v>
      </c>
      <c r="D1201" s="26"/>
      <c r="E1201" s="26"/>
    </row>
    <row r="1202" spans="1:5" s="16" customFormat="1" ht="12.95" customHeight="1">
      <c r="A1202" s="26" t="s">
        <v>5444</v>
      </c>
      <c r="B1202" s="26"/>
      <c r="C1202" s="26" t="s">
        <v>5445</v>
      </c>
      <c r="D1202" s="26"/>
      <c r="E1202" s="26"/>
    </row>
    <row r="1203" spans="1:5" s="16" customFormat="1" ht="12.95" customHeight="1">
      <c r="A1203" s="26" t="s">
        <v>5446</v>
      </c>
      <c r="B1203" s="26"/>
      <c r="C1203" s="26" t="s">
        <v>5447</v>
      </c>
      <c r="D1203" s="26"/>
      <c r="E1203" s="26"/>
    </row>
    <row r="1204" spans="1:5" s="16" customFormat="1" ht="12.95" customHeight="1">
      <c r="A1204" s="26" t="s">
        <v>5448</v>
      </c>
      <c r="B1204" s="26"/>
      <c r="C1204" s="26" t="s">
        <v>5449</v>
      </c>
      <c r="D1204" s="26"/>
      <c r="E1204" s="26"/>
    </row>
    <row r="1205" spans="1:5" s="16" customFormat="1" ht="12.95" customHeight="1">
      <c r="A1205" s="26" t="s">
        <v>5450</v>
      </c>
      <c r="B1205" s="26"/>
      <c r="C1205" s="26" t="s">
        <v>5408</v>
      </c>
      <c r="D1205" s="26"/>
      <c r="E1205" s="26"/>
    </row>
    <row r="1206" spans="1:5" s="16" customFormat="1" ht="12.95" customHeight="1">
      <c r="A1206" s="26" t="s">
        <v>5451</v>
      </c>
      <c r="B1206" s="26"/>
      <c r="C1206" s="26" t="s">
        <v>5452</v>
      </c>
      <c r="D1206" s="26"/>
      <c r="E1206" s="26"/>
    </row>
    <row r="1207" spans="1:5" s="16" customFormat="1" ht="12.95" customHeight="1">
      <c r="A1207" s="26" t="s">
        <v>5453</v>
      </c>
      <c r="B1207" s="26"/>
      <c r="C1207" s="26" t="s">
        <v>5454</v>
      </c>
      <c r="D1207" s="26"/>
      <c r="E1207" s="26"/>
    </row>
    <row r="1208" spans="1:5" s="16" customFormat="1" ht="12.95" customHeight="1">
      <c r="A1208" s="26" t="s">
        <v>5455</v>
      </c>
      <c r="B1208" s="26"/>
      <c r="C1208" s="26" t="s">
        <v>5456</v>
      </c>
      <c r="D1208" s="26"/>
      <c r="E1208" s="26"/>
    </row>
    <row r="1209" spans="1:5" s="16" customFormat="1" ht="12.95" customHeight="1">
      <c r="A1209" s="26" t="s">
        <v>5457</v>
      </c>
      <c r="B1209" s="26"/>
      <c r="C1209" s="26" t="s">
        <v>5458</v>
      </c>
      <c r="D1209" s="26"/>
      <c r="E1209" s="26"/>
    </row>
    <row r="1210" spans="1:5" s="16" customFormat="1" ht="12.95" customHeight="1">
      <c r="A1210" s="26" t="s">
        <v>5459</v>
      </c>
      <c r="B1210" s="26"/>
      <c r="C1210" s="26" t="s">
        <v>5460</v>
      </c>
      <c r="D1210" s="26"/>
      <c r="E1210" s="26"/>
    </row>
    <row r="1211" spans="1:5" s="16" customFormat="1" ht="12.95" customHeight="1">
      <c r="A1211" s="26" t="s">
        <v>5461</v>
      </c>
      <c r="B1211" s="26"/>
      <c r="C1211" s="26" t="s">
        <v>5462</v>
      </c>
      <c r="D1211" s="26"/>
      <c r="E1211" s="26"/>
    </row>
    <row r="1212" spans="1:5" s="16" customFormat="1" ht="12.95" customHeight="1">
      <c r="A1212" s="26" t="s">
        <v>5463</v>
      </c>
      <c r="B1212" s="26"/>
      <c r="C1212" s="26" t="s">
        <v>5464</v>
      </c>
      <c r="D1212" s="26"/>
      <c r="E1212" s="26"/>
    </row>
    <row r="1213" spans="1:5" s="16" customFormat="1" ht="12.95" customHeight="1">
      <c r="A1213" s="26" t="s">
        <v>5465</v>
      </c>
      <c r="B1213" s="26"/>
      <c r="C1213" s="26" t="s">
        <v>5466</v>
      </c>
      <c r="D1213" s="26"/>
      <c r="E1213" s="26"/>
    </row>
    <row r="1214" spans="1:5" s="16" customFormat="1" ht="12.95" customHeight="1">
      <c r="A1214" s="26" t="s">
        <v>5467</v>
      </c>
      <c r="B1214" s="26"/>
      <c r="C1214" s="26" t="s">
        <v>5468</v>
      </c>
      <c r="D1214" s="26"/>
      <c r="E1214" s="26"/>
    </row>
    <row r="1215" spans="1:5" s="16" customFormat="1" ht="12.95" customHeight="1">
      <c r="A1215" s="26" t="s">
        <v>5469</v>
      </c>
      <c r="B1215" s="26"/>
      <c r="C1215" s="26" t="s">
        <v>5470</v>
      </c>
      <c r="D1215" s="26"/>
      <c r="E1215" s="26"/>
    </row>
    <row r="1216" spans="1:5" s="16" customFormat="1" ht="12.95" customHeight="1">
      <c r="A1216" s="26" t="s">
        <v>5471</v>
      </c>
      <c r="B1216" s="26"/>
      <c r="C1216" s="26" t="s">
        <v>5472</v>
      </c>
      <c r="D1216" s="26"/>
      <c r="E1216" s="26"/>
    </row>
    <row r="1217" spans="1:5" s="16" customFormat="1" ht="12.95" customHeight="1">
      <c r="A1217" s="26" t="s">
        <v>5473</v>
      </c>
      <c r="B1217" s="26"/>
      <c r="C1217" s="26" t="s">
        <v>5474</v>
      </c>
      <c r="D1217" s="26"/>
      <c r="E1217" s="26"/>
    </row>
    <row r="1218" spans="1:5" s="16" customFormat="1" ht="12.95" customHeight="1">
      <c r="A1218" s="26" t="s">
        <v>5475</v>
      </c>
      <c r="B1218" s="26"/>
      <c r="C1218" s="26" t="s">
        <v>5476</v>
      </c>
      <c r="D1218" s="26"/>
      <c r="E1218" s="26"/>
    </row>
    <row r="1219" spans="1:5" s="16" customFormat="1" ht="12.95" customHeight="1">
      <c r="A1219" s="26" t="s">
        <v>5477</v>
      </c>
      <c r="B1219" s="26"/>
      <c r="C1219" s="26" t="s">
        <v>5478</v>
      </c>
      <c r="D1219" s="26"/>
      <c r="E1219" s="26"/>
    </row>
    <row r="1220" spans="1:5" s="16" customFormat="1" ht="12.95" customHeight="1">
      <c r="A1220" s="26" t="s">
        <v>5479</v>
      </c>
      <c r="B1220" s="26"/>
      <c r="C1220" s="26" t="s">
        <v>5480</v>
      </c>
      <c r="D1220" s="26"/>
      <c r="E1220" s="26"/>
    </row>
    <row r="1221" spans="1:5" s="16" customFormat="1" ht="12.95" customHeight="1">
      <c r="A1221" s="26" t="s">
        <v>5481</v>
      </c>
      <c r="B1221" s="26"/>
      <c r="C1221" s="26" t="s">
        <v>5482</v>
      </c>
      <c r="D1221" s="26"/>
      <c r="E1221" s="26"/>
    </row>
    <row r="1222" spans="1:5" s="16" customFormat="1" ht="12.95" customHeight="1">
      <c r="A1222" s="26" t="s">
        <v>5483</v>
      </c>
      <c r="B1222" s="26"/>
      <c r="C1222" s="26" t="s">
        <v>5484</v>
      </c>
      <c r="D1222" s="26"/>
      <c r="E1222" s="26"/>
    </row>
    <row r="1223" spans="1:5" s="16" customFormat="1" ht="12.95" customHeight="1">
      <c r="A1223" s="26" t="s">
        <v>5485</v>
      </c>
      <c r="B1223" s="26"/>
      <c r="C1223" s="26" t="s">
        <v>5486</v>
      </c>
      <c r="D1223" s="26"/>
      <c r="E1223" s="26"/>
    </row>
    <row r="1224" spans="1:5" s="16" customFormat="1" ht="12.95" customHeight="1">
      <c r="A1224" s="26" t="s">
        <v>5487</v>
      </c>
      <c r="B1224" s="26"/>
      <c r="C1224" s="26" t="s">
        <v>5488</v>
      </c>
      <c r="D1224" s="26"/>
      <c r="E1224" s="26"/>
    </row>
    <row r="1225" spans="1:5" s="16" customFormat="1" ht="12.95" customHeight="1">
      <c r="A1225" s="26" t="s">
        <v>5489</v>
      </c>
      <c r="B1225" s="26"/>
      <c r="C1225" s="26" t="s">
        <v>5490</v>
      </c>
      <c r="D1225" s="26"/>
      <c r="E1225" s="26"/>
    </row>
    <row r="1226" spans="1:5" s="16" customFormat="1" ht="12.95" customHeight="1">
      <c r="A1226" s="26" t="s">
        <v>5491</v>
      </c>
      <c r="B1226" s="26"/>
      <c r="C1226" s="26" t="s">
        <v>5492</v>
      </c>
      <c r="D1226" s="26"/>
      <c r="E1226" s="26"/>
    </row>
    <row r="1227" spans="1:5" s="16" customFormat="1" ht="12.95" customHeight="1">
      <c r="A1227" s="26" t="s">
        <v>5493</v>
      </c>
      <c r="B1227" s="26"/>
      <c r="C1227" s="26" t="s">
        <v>5494</v>
      </c>
      <c r="D1227" s="26"/>
      <c r="E1227" s="26"/>
    </row>
    <row r="1228" spans="1:5" s="16" customFormat="1" ht="12.95" customHeight="1">
      <c r="A1228" s="26" t="s">
        <v>5495</v>
      </c>
      <c r="B1228" s="26"/>
      <c r="C1228" s="26" t="s">
        <v>5496</v>
      </c>
      <c r="D1228" s="26"/>
      <c r="E1228" s="26"/>
    </row>
    <row r="1229" spans="1:5" s="16" customFormat="1" ht="12.95" customHeight="1">
      <c r="A1229" s="26" t="s">
        <v>5497</v>
      </c>
      <c r="B1229" s="26"/>
      <c r="C1229" s="26" t="s">
        <v>5498</v>
      </c>
      <c r="D1229" s="26"/>
      <c r="E1229" s="26"/>
    </row>
    <row r="1230" spans="1:5" s="16" customFormat="1" ht="12.95" customHeight="1">
      <c r="A1230" s="26" t="s">
        <v>5499</v>
      </c>
      <c r="B1230" s="26"/>
      <c r="C1230" s="26" t="s">
        <v>5500</v>
      </c>
      <c r="D1230" s="26"/>
      <c r="E1230" s="26"/>
    </row>
    <row r="1231" spans="1:5" s="16" customFormat="1" ht="12.95" customHeight="1">
      <c r="A1231" s="26" t="s">
        <v>5501</v>
      </c>
      <c r="B1231" s="26"/>
      <c r="C1231" s="26" t="s">
        <v>5502</v>
      </c>
      <c r="D1231" s="26"/>
      <c r="E1231" s="26"/>
    </row>
    <row r="1232" spans="1:5" s="16" customFormat="1" ht="12.95" customHeight="1">
      <c r="A1232" s="26" t="s">
        <v>5503</v>
      </c>
      <c r="B1232" s="26"/>
      <c r="C1232" s="26" t="s">
        <v>5504</v>
      </c>
      <c r="D1232" s="26"/>
      <c r="E1232" s="26"/>
    </row>
    <row r="1233" spans="1:5" s="16" customFormat="1" ht="12.95" customHeight="1">
      <c r="A1233" s="26" t="s">
        <v>5505</v>
      </c>
      <c r="B1233" s="26"/>
      <c r="C1233" s="26" t="s">
        <v>5506</v>
      </c>
      <c r="D1233" s="26"/>
      <c r="E1233" s="26"/>
    </row>
    <row r="1234" spans="1:5" s="16" customFormat="1" ht="12.95" customHeight="1">
      <c r="A1234" s="26" t="s">
        <v>5507</v>
      </c>
      <c r="B1234" s="26"/>
      <c r="C1234" s="26" t="s">
        <v>5508</v>
      </c>
      <c r="D1234" s="26"/>
      <c r="E1234" s="26"/>
    </row>
    <row r="1235" spans="1:5" s="16" customFormat="1" ht="12.95" customHeight="1">
      <c r="A1235" s="26" t="s">
        <v>5509</v>
      </c>
      <c r="B1235" s="26"/>
      <c r="C1235" s="26" t="s">
        <v>5510</v>
      </c>
      <c r="D1235" s="26"/>
      <c r="E1235" s="26"/>
    </row>
    <row r="1236" spans="1:5" s="16" customFormat="1" ht="12.95" customHeight="1">
      <c r="A1236" s="26" t="s">
        <v>5511</v>
      </c>
      <c r="B1236" s="26"/>
      <c r="C1236" s="26" t="s">
        <v>5512</v>
      </c>
      <c r="D1236" s="26"/>
      <c r="E1236" s="26"/>
    </row>
    <row r="1237" spans="1:5" s="16" customFormat="1" ht="12.95" customHeight="1">
      <c r="A1237" s="26" t="s">
        <v>5513</v>
      </c>
      <c r="B1237" s="26"/>
      <c r="C1237" s="26" t="s">
        <v>5514</v>
      </c>
      <c r="D1237" s="26"/>
      <c r="E1237" s="26"/>
    </row>
    <row r="1238" spans="1:5" s="16" customFormat="1" ht="12.95" customHeight="1">
      <c r="A1238" s="26" t="s">
        <v>5515</v>
      </c>
      <c r="B1238" s="26"/>
      <c r="C1238" s="26" t="s">
        <v>5516</v>
      </c>
      <c r="D1238" s="26"/>
      <c r="E1238" s="26"/>
    </row>
    <row r="1239" spans="1:5" s="16" customFormat="1" ht="12.95" customHeight="1">
      <c r="A1239" s="26" t="s">
        <v>5517</v>
      </c>
      <c r="B1239" s="26"/>
      <c r="C1239" s="26" t="s">
        <v>5518</v>
      </c>
      <c r="D1239" s="26"/>
      <c r="E1239" s="26"/>
    </row>
    <row r="1240" spans="1:5" s="16" customFormat="1" ht="12.95" customHeight="1">
      <c r="A1240" s="26" t="s">
        <v>5519</v>
      </c>
      <c r="B1240" s="26"/>
      <c r="C1240" s="26" t="s">
        <v>5520</v>
      </c>
      <c r="D1240" s="26"/>
      <c r="E1240" s="26"/>
    </row>
    <row r="1241" spans="1:5" s="16" customFormat="1" ht="12.95" customHeight="1">
      <c r="A1241" s="26" t="s">
        <v>5521</v>
      </c>
      <c r="B1241" s="26"/>
      <c r="C1241" s="26" t="s">
        <v>5522</v>
      </c>
      <c r="D1241" s="26"/>
      <c r="E1241" s="26"/>
    </row>
    <row r="1242" spans="1:5" s="16" customFormat="1" ht="12.95" customHeight="1">
      <c r="A1242" s="26" t="s">
        <v>5523</v>
      </c>
      <c r="B1242" s="26"/>
      <c r="C1242" s="26" t="s">
        <v>5524</v>
      </c>
      <c r="D1242" s="26"/>
      <c r="E1242" s="26"/>
    </row>
    <row r="1243" spans="1:5" s="16" customFormat="1" ht="12.95" customHeight="1">
      <c r="A1243" s="26" t="s">
        <v>5525</v>
      </c>
      <c r="B1243" s="26"/>
      <c r="C1243" s="26" t="s">
        <v>5526</v>
      </c>
      <c r="D1243" s="26"/>
      <c r="E1243" s="26"/>
    </row>
    <row r="1244" spans="1:5" s="16" customFormat="1" ht="12.95" customHeight="1">
      <c r="A1244" s="26" t="s">
        <v>5527</v>
      </c>
      <c r="B1244" s="26"/>
      <c r="C1244" s="26" t="s">
        <v>5528</v>
      </c>
      <c r="D1244" s="26"/>
      <c r="E1244" s="26"/>
    </row>
    <row r="1245" spans="1:5" s="16" customFormat="1" ht="12.95" customHeight="1">
      <c r="A1245" s="26" t="s">
        <v>5529</v>
      </c>
      <c r="B1245" s="26"/>
      <c r="C1245" s="26" t="s">
        <v>5530</v>
      </c>
      <c r="D1245" s="26"/>
      <c r="E1245" s="26"/>
    </row>
    <row r="1246" spans="1:5" s="16" customFormat="1" ht="12.95" customHeight="1">
      <c r="A1246" s="26" t="s">
        <v>5531</v>
      </c>
      <c r="B1246" s="26"/>
      <c r="C1246" s="26" t="s">
        <v>5532</v>
      </c>
      <c r="D1246" s="26"/>
      <c r="E1246" s="26"/>
    </row>
    <row r="1247" spans="1:5" s="16" customFormat="1" ht="12.95" customHeight="1">
      <c r="A1247" s="26" t="s">
        <v>5533</v>
      </c>
      <c r="B1247" s="26"/>
      <c r="C1247" s="26" t="s">
        <v>5534</v>
      </c>
      <c r="D1247" s="26"/>
      <c r="E1247" s="26"/>
    </row>
    <row r="1248" spans="1:5" s="16" customFormat="1" ht="12.95" customHeight="1">
      <c r="A1248" s="26" t="s">
        <v>5535</v>
      </c>
      <c r="B1248" s="26"/>
      <c r="C1248" s="26" t="s">
        <v>5536</v>
      </c>
      <c r="D1248" s="26"/>
      <c r="E1248" s="26"/>
    </row>
    <row r="1249" spans="1:5" s="16" customFormat="1" ht="12.95" customHeight="1">
      <c r="A1249" s="26" t="s">
        <v>5537</v>
      </c>
      <c r="B1249" s="26"/>
      <c r="C1249" s="26" t="s">
        <v>5538</v>
      </c>
      <c r="D1249" s="26"/>
      <c r="E1249" s="26"/>
    </row>
    <row r="1250" spans="1:5" s="16" customFormat="1" ht="12.95" customHeight="1">
      <c r="A1250" s="26" t="s">
        <v>5539</v>
      </c>
      <c r="B1250" s="26"/>
      <c r="C1250" s="26" t="s">
        <v>5540</v>
      </c>
      <c r="D1250" s="26"/>
      <c r="E1250" s="26"/>
    </row>
    <row r="1251" spans="1:5" s="16" customFormat="1" ht="12.95" customHeight="1">
      <c r="A1251" s="26" t="s">
        <v>5541</v>
      </c>
      <c r="B1251" s="26"/>
      <c r="C1251" s="26" t="s">
        <v>5542</v>
      </c>
      <c r="D1251" s="26"/>
      <c r="E1251" s="26"/>
    </row>
    <row r="1252" spans="1:5" s="16" customFormat="1" ht="12.95" customHeight="1">
      <c r="A1252" s="26" t="s">
        <v>5543</v>
      </c>
      <c r="B1252" s="26"/>
      <c r="C1252" s="26" t="s">
        <v>5544</v>
      </c>
      <c r="D1252" s="26"/>
      <c r="E1252" s="26"/>
    </row>
    <row r="1253" spans="1:5" s="16" customFormat="1" ht="12.95" customHeight="1">
      <c r="A1253" s="26" t="s">
        <v>5545</v>
      </c>
      <c r="B1253" s="26"/>
      <c r="C1253" s="26" t="s">
        <v>5546</v>
      </c>
      <c r="D1253" s="26"/>
      <c r="E1253" s="26"/>
    </row>
    <row r="1254" spans="1:5" s="16" customFormat="1" ht="12.95" customHeight="1">
      <c r="A1254" s="26" t="s">
        <v>5547</v>
      </c>
      <c r="B1254" s="26"/>
      <c r="C1254" s="26" t="s">
        <v>5548</v>
      </c>
      <c r="D1254" s="26"/>
      <c r="E1254" s="26"/>
    </row>
    <row r="1255" spans="1:5" s="16" customFormat="1" ht="12.95" customHeight="1">
      <c r="A1255" s="26" t="s">
        <v>5549</v>
      </c>
      <c r="B1255" s="26"/>
      <c r="C1255" s="26" t="s">
        <v>5550</v>
      </c>
      <c r="D1255" s="26"/>
      <c r="E1255" s="26"/>
    </row>
    <row r="1256" spans="1:5" s="16" customFormat="1" ht="12.95" customHeight="1">
      <c r="A1256" s="26" t="s">
        <v>5551</v>
      </c>
      <c r="B1256" s="26"/>
      <c r="C1256" s="26" t="s">
        <v>5552</v>
      </c>
      <c r="D1256" s="26"/>
      <c r="E1256" s="26"/>
    </row>
    <row r="1257" spans="1:5" s="16" customFormat="1" ht="12.95" customHeight="1">
      <c r="A1257" s="26" t="s">
        <v>5553</v>
      </c>
      <c r="B1257" s="26"/>
      <c r="C1257" s="26" t="s">
        <v>5554</v>
      </c>
      <c r="D1257" s="26"/>
      <c r="E1257" s="26"/>
    </row>
    <row r="1258" spans="1:5" s="16" customFormat="1" ht="12.95" customHeight="1">
      <c r="A1258" s="26" t="s">
        <v>5555</v>
      </c>
      <c r="B1258" s="26"/>
      <c r="C1258" s="26" t="s">
        <v>5556</v>
      </c>
      <c r="D1258" s="26"/>
      <c r="E1258" s="26"/>
    </row>
    <row r="1259" spans="1:5" s="16" customFormat="1" ht="12.95" customHeight="1">
      <c r="A1259" s="26" t="s">
        <v>5557</v>
      </c>
      <c r="B1259" s="26"/>
      <c r="C1259" s="26" t="s">
        <v>5558</v>
      </c>
      <c r="D1259" s="26"/>
      <c r="E1259" s="26"/>
    </row>
    <row r="1260" spans="1:5" s="16" customFormat="1" ht="12.95" customHeight="1">
      <c r="A1260" s="26" t="s">
        <v>5559</v>
      </c>
      <c r="B1260" s="26"/>
      <c r="C1260" s="26" t="s">
        <v>5560</v>
      </c>
      <c r="D1260" s="26"/>
      <c r="E1260" s="26"/>
    </row>
    <row r="1261" spans="1:5" s="16" customFormat="1" ht="12.95" customHeight="1">
      <c r="A1261" s="26" t="s">
        <v>5561</v>
      </c>
      <c r="B1261" s="26"/>
      <c r="C1261" s="26" t="s">
        <v>5562</v>
      </c>
      <c r="D1261" s="26"/>
      <c r="E1261" s="26"/>
    </row>
    <row r="1262" spans="1:5" s="16" customFormat="1" ht="12.95" customHeight="1">
      <c r="A1262" s="26" t="s">
        <v>5563</v>
      </c>
      <c r="B1262" s="26"/>
      <c r="C1262" s="26" t="s">
        <v>5564</v>
      </c>
      <c r="D1262" s="26"/>
      <c r="E1262" s="26"/>
    </row>
    <row r="1263" spans="1:5" s="16" customFormat="1" ht="12.95" customHeight="1">
      <c r="A1263" s="26" t="s">
        <v>5565</v>
      </c>
      <c r="B1263" s="26"/>
      <c r="C1263" s="26" t="s">
        <v>5566</v>
      </c>
      <c r="D1263" s="26"/>
      <c r="E1263" s="26"/>
    </row>
    <row r="1264" spans="1:5" s="16" customFormat="1" ht="12.95" customHeight="1">
      <c r="A1264" s="26" t="s">
        <v>5567</v>
      </c>
      <c r="B1264" s="26"/>
      <c r="C1264" s="26" t="s">
        <v>5568</v>
      </c>
      <c r="D1264" s="26"/>
      <c r="E1264" s="26"/>
    </row>
    <row r="1265" spans="1:5" s="16" customFormat="1" ht="12.95" customHeight="1">
      <c r="A1265" s="26" t="s">
        <v>5569</v>
      </c>
      <c r="B1265" s="26"/>
      <c r="C1265" s="26" t="s">
        <v>5570</v>
      </c>
      <c r="D1265" s="26"/>
      <c r="E1265" s="26"/>
    </row>
    <row r="1266" spans="1:5" s="16" customFormat="1" ht="12.95" customHeight="1">
      <c r="A1266" s="26" t="s">
        <v>5571</v>
      </c>
      <c r="B1266" s="26"/>
      <c r="C1266" s="26" t="s">
        <v>5572</v>
      </c>
      <c r="D1266" s="26"/>
      <c r="E1266" s="26"/>
    </row>
    <row r="1267" spans="1:5" s="16" customFormat="1" ht="12.95" customHeight="1">
      <c r="A1267" s="26" t="s">
        <v>5573</v>
      </c>
      <c r="B1267" s="26"/>
      <c r="C1267" s="26" t="s">
        <v>5572</v>
      </c>
      <c r="D1267" s="26"/>
      <c r="E1267" s="26"/>
    </row>
    <row r="1268" spans="1:5" s="16" customFormat="1" ht="12.95" customHeight="1">
      <c r="A1268" s="26" t="s">
        <v>5574</v>
      </c>
      <c r="B1268" s="26"/>
      <c r="C1268" s="26" t="s">
        <v>5572</v>
      </c>
      <c r="D1268" s="26"/>
      <c r="E1268" s="26"/>
    </row>
    <row r="1269" spans="1:5" s="16" customFormat="1" ht="12.95" customHeight="1">
      <c r="A1269" s="26" t="s">
        <v>5575</v>
      </c>
      <c r="B1269" s="26"/>
      <c r="C1269" s="26" t="s">
        <v>5576</v>
      </c>
      <c r="D1269" s="26"/>
      <c r="E1269" s="26"/>
    </row>
    <row r="1270" spans="1:5" s="16" customFormat="1" ht="12.95" customHeight="1">
      <c r="A1270" s="26" t="s">
        <v>5577</v>
      </c>
      <c r="B1270" s="26"/>
      <c r="C1270" s="26" t="s">
        <v>5578</v>
      </c>
      <c r="D1270" s="26"/>
      <c r="E1270" s="26"/>
    </row>
    <row r="1271" spans="1:5" s="16" customFormat="1" ht="12.95" customHeight="1">
      <c r="A1271" s="26" t="s">
        <v>5579</v>
      </c>
      <c r="B1271" s="26"/>
      <c r="C1271" s="26" t="s">
        <v>5580</v>
      </c>
      <c r="D1271" s="26"/>
      <c r="E1271" s="26"/>
    </row>
    <row r="1272" spans="1:5" s="16" customFormat="1" ht="12.95" customHeight="1">
      <c r="A1272" s="26" t="s">
        <v>5581</v>
      </c>
      <c r="B1272" s="26"/>
      <c r="C1272" s="26" t="s">
        <v>5582</v>
      </c>
      <c r="D1272" s="26"/>
      <c r="E1272" s="26"/>
    </row>
    <row r="1273" spans="1:5" s="16" customFormat="1" ht="12.95" customHeight="1">
      <c r="A1273" s="26" t="s">
        <v>5583</v>
      </c>
      <c r="B1273" s="26"/>
      <c r="C1273" s="26" t="s">
        <v>5584</v>
      </c>
      <c r="D1273" s="26"/>
      <c r="E1273" s="26"/>
    </row>
    <row r="1274" spans="1:5" s="16" customFormat="1" ht="12.95" customHeight="1">
      <c r="A1274" s="26" t="s">
        <v>5585</v>
      </c>
      <c r="B1274" s="26"/>
      <c r="C1274" s="26" t="s">
        <v>5586</v>
      </c>
      <c r="D1274" s="26"/>
      <c r="E1274" s="26"/>
    </row>
    <row r="1275" spans="1:5" s="16" customFormat="1" ht="12.95" customHeight="1">
      <c r="A1275" s="26" t="s">
        <v>5587</v>
      </c>
      <c r="B1275" s="26"/>
      <c r="C1275" s="26" t="s">
        <v>5588</v>
      </c>
      <c r="D1275" s="26"/>
      <c r="E1275" s="26"/>
    </row>
    <row r="1276" spans="1:5" s="16" customFormat="1" ht="12.95" customHeight="1">
      <c r="A1276" s="26" t="s">
        <v>5589</v>
      </c>
      <c r="B1276" s="26"/>
      <c r="C1276" s="26" t="s">
        <v>5590</v>
      </c>
      <c r="D1276" s="26"/>
      <c r="E1276" s="26"/>
    </row>
    <row r="1277" spans="1:5" s="16" customFormat="1" ht="12.95" customHeight="1">
      <c r="A1277" s="26" t="s">
        <v>5591</v>
      </c>
      <c r="B1277" s="26"/>
      <c r="C1277" s="26" t="s">
        <v>5592</v>
      </c>
      <c r="D1277" s="26"/>
      <c r="E1277" s="26"/>
    </row>
    <row r="1278" spans="1:5" s="16" customFormat="1" ht="12.95" customHeight="1">
      <c r="A1278" s="26" t="s">
        <v>5593</v>
      </c>
      <c r="B1278" s="26"/>
      <c r="C1278" s="26" t="s">
        <v>5594</v>
      </c>
      <c r="D1278" s="26"/>
      <c r="E1278" s="26"/>
    </row>
    <row r="1279" spans="1:5" s="16" customFormat="1" ht="12.95" customHeight="1">
      <c r="A1279" s="26" t="s">
        <v>5595</v>
      </c>
      <c r="B1279" s="26"/>
      <c r="C1279" s="26" t="s">
        <v>5596</v>
      </c>
      <c r="D1279" s="26"/>
      <c r="E1279" s="26"/>
    </row>
    <row r="1280" spans="1:5" s="16" customFormat="1" ht="12.95" customHeight="1">
      <c r="A1280" s="26" t="s">
        <v>5597</v>
      </c>
      <c r="B1280" s="26"/>
      <c r="C1280" s="26" t="s">
        <v>5598</v>
      </c>
      <c r="D1280" s="26"/>
      <c r="E1280" s="26"/>
    </row>
    <row r="1281" spans="1:5" s="16" customFormat="1" ht="12.95" customHeight="1">
      <c r="A1281" s="26" t="s">
        <v>5599</v>
      </c>
      <c r="B1281" s="26"/>
      <c r="C1281" s="26" t="s">
        <v>5600</v>
      </c>
      <c r="D1281" s="26"/>
      <c r="E1281" s="26"/>
    </row>
    <row r="1282" spans="1:5" s="16" customFormat="1" ht="12.95" customHeight="1">
      <c r="A1282" s="26" t="s">
        <v>5601</v>
      </c>
      <c r="B1282" s="26"/>
      <c r="C1282" s="26" t="s">
        <v>5602</v>
      </c>
      <c r="D1282" s="26"/>
      <c r="E1282" s="26"/>
    </row>
    <row r="1283" spans="1:5" s="16" customFormat="1" ht="12.95" customHeight="1">
      <c r="A1283" s="26" t="s">
        <v>5603</v>
      </c>
      <c r="B1283" s="26"/>
      <c r="C1283" s="26" t="s">
        <v>5604</v>
      </c>
      <c r="D1283" s="26"/>
      <c r="E1283" s="26"/>
    </row>
    <row r="1284" spans="1:5" s="16" customFormat="1" ht="12.95" customHeight="1">
      <c r="A1284" s="26" t="s">
        <v>5605</v>
      </c>
      <c r="B1284" s="26"/>
      <c r="C1284" s="26" t="s">
        <v>5606</v>
      </c>
      <c r="D1284" s="26"/>
      <c r="E1284" s="26"/>
    </row>
    <row r="1285" spans="1:5" s="16" customFormat="1" ht="12.95" customHeight="1">
      <c r="A1285" s="26" t="s">
        <v>5607</v>
      </c>
      <c r="B1285" s="26"/>
      <c r="C1285" s="26" t="s">
        <v>5606</v>
      </c>
      <c r="D1285" s="26"/>
      <c r="E1285" s="26"/>
    </row>
    <row r="1286" spans="1:5" s="16" customFormat="1" ht="12.95" customHeight="1">
      <c r="A1286" s="26" t="s">
        <v>5608</v>
      </c>
      <c r="B1286" s="26"/>
      <c r="C1286" s="26" t="s">
        <v>5606</v>
      </c>
      <c r="D1286" s="26"/>
      <c r="E1286" s="26"/>
    </row>
    <row r="1287" spans="1:5" s="16" customFormat="1" ht="12.95" customHeight="1">
      <c r="A1287" s="26" t="s">
        <v>5609</v>
      </c>
      <c r="B1287" s="26"/>
      <c r="C1287" s="26" t="s">
        <v>5606</v>
      </c>
      <c r="D1287" s="26"/>
      <c r="E1287" s="26"/>
    </row>
    <row r="1288" spans="1:5" s="16" customFormat="1" ht="12.95" customHeight="1">
      <c r="A1288" s="26" t="s">
        <v>5610</v>
      </c>
      <c r="B1288" s="26"/>
      <c r="C1288" s="26" t="s">
        <v>5611</v>
      </c>
      <c r="D1288" s="26"/>
      <c r="E1288" s="26"/>
    </row>
    <row r="1289" spans="1:5" s="16" customFormat="1" ht="12.95" customHeight="1">
      <c r="A1289" s="26" t="s">
        <v>5612</v>
      </c>
      <c r="B1289" s="26"/>
      <c r="C1289" s="26" t="s">
        <v>5613</v>
      </c>
      <c r="D1289" s="26"/>
      <c r="E1289" s="26"/>
    </row>
    <row r="1290" spans="1:5" s="16" customFormat="1" ht="12.95" customHeight="1">
      <c r="A1290" s="26" t="s">
        <v>5614</v>
      </c>
      <c r="B1290" s="26"/>
      <c r="C1290" s="26" t="s">
        <v>5615</v>
      </c>
      <c r="D1290" s="26"/>
      <c r="E1290" s="26"/>
    </row>
    <row r="1291" spans="1:5" s="16" customFormat="1" ht="12.95" customHeight="1">
      <c r="A1291" s="26" t="s">
        <v>5616</v>
      </c>
      <c r="B1291" s="26"/>
      <c r="C1291" s="26" t="s">
        <v>5617</v>
      </c>
      <c r="D1291" s="26"/>
      <c r="E1291" s="26"/>
    </row>
    <row r="1292" spans="1:5" s="16" customFormat="1" ht="12.95" customHeight="1">
      <c r="A1292" s="26" t="s">
        <v>5618</v>
      </c>
      <c r="B1292" s="26"/>
      <c r="C1292" s="26" t="s">
        <v>5619</v>
      </c>
      <c r="D1292" s="26"/>
      <c r="E1292" s="26"/>
    </row>
    <row r="1293" spans="1:5" s="16" customFormat="1" ht="12.95" customHeight="1">
      <c r="A1293" s="26" t="s">
        <v>5620</v>
      </c>
      <c r="B1293" s="26"/>
      <c r="C1293" s="26" t="s">
        <v>5621</v>
      </c>
      <c r="D1293" s="26"/>
      <c r="E1293" s="26"/>
    </row>
    <row r="1294" spans="1:5" s="16" customFormat="1" ht="12.95" customHeight="1">
      <c r="A1294" s="26" t="s">
        <v>5622</v>
      </c>
      <c r="B1294" s="26"/>
      <c r="C1294" s="26" t="s">
        <v>5619</v>
      </c>
      <c r="D1294" s="26"/>
      <c r="E1294" s="26"/>
    </row>
    <row r="1295" spans="1:5" s="16" customFormat="1" ht="12.95" customHeight="1">
      <c r="A1295" s="26" t="s">
        <v>5623</v>
      </c>
      <c r="B1295" s="26"/>
      <c r="C1295" s="26" t="s">
        <v>5624</v>
      </c>
      <c r="D1295" s="26"/>
      <c r="E1295" s="26"/>
    </row>
    <row r="1296" spans="1:5" s="16" customFormat="1" ht="12.95" customHeight="1">
      <c r="A1296" s="26" t="s">
        <v>5625</v>
      </c>
      <c r="B1296" s="26"/>
      <c r="C1296" s="26" t="s">
        <v>5626</v>
      </c>
      <c r="D1296" s="26"/>
      <c r="E1296" s="26"/>
    </row>
    <row r="1297" spans="1:5" s="16" customFormat="1" ht="12.95" customHeight="1">
      <c r="A1297" s="26" t="s">
        <v>5627</v>
      </c>
      <c r="B1297" s="26"/>
      <c r="C1297" s="26" t="s">
        <v>5628</v>
      </c>
      <c r="D1297" s="26"/>
      <c r="E1297" s="26"/>
    </row>
    <row r="1298" spans="1:5" s="16" customFormat="1" ht="12.95" customHeight="1">
      <c r="A1298" s="26" t="s">
        <v>5629</v>
      </c>
      <c r="B1298" s="26"/>
      <c r="C1298" s="26" t="s">
        <v>5630</v>
      </c>
      <c r="D1298" s="26"/>
      <c r="E1298" s="26"/>
    </row>
    <row r="1299" spans="1:5" s="16" customFormat="1" ht="12.95" customHeight="1">
      <c r="A1299" s="26" t="s">
        <v>5631</v>
      </c>
      <c r="B1299" s="26"/>
      <c r="C1299" s="26" t="s">
        <v>5632</v>
      </c>
      <c r="D1299" s="26"/>
      <c r="E1299" s="26"/>
    </row>
    <row r="1300" spans="1:5" s="16" customFormat="1" ht="12.95" customHeight="1">
      <c r="A1300" s="26" t="s">
        <v>5633</v>
      </c>
      <c r="B1300" s="26"/>
      <c r="C1300" s="26" t="s">
        <v>5634</v>
      </c>
      <c r="D1300" s="26"/>
      <c r="E1300" s="26"/>
    </row>
    <row r="1301" spans="1:5" s="16" customFormat="1" ht="12.95" customHeight="1">
      <c r="A1301" s="26" t="s">
        <v>5635</v>
      </c>
      <c r="B1301" s="26"/>
      <c r="C1301" s="26" t="s">
        <v>5636</v>
      </c>
      <c r="D1301" s="26"/>
      <c r="E1301" s="26"/>
    </row>
    <row r="1302" spans="1:5" s="16" customFormat="1" ht="12.95" customHeight="1">
      <c r="A1302" s="26" t="s">
        <v>5637</v>
      </c>
      <c r="B1302" s="26"/>
      <c r="C1302" s="26" t="s">
        <v>5638</v>
      </c>
      <c r="D1302" s="26"/>
      <c r="E1302" s="26"/>
    </row>
    <row r="1303" spans="1:5" s="16" customFormat="1" ht="12.95" customHeight="1">
      <c r="A1303" s="26" t="s">
        <v>5639</v>
      </c>
      <c r="B1303" s="26"/>
      <c r="C1303" s="26" t="s">
        <v>5640</v>
      </c>
      <c r="D1303" s="26"/>
      <c r="E1303" s="26"/>
    </row>
    <row r="1304" spans="1:5" s="16" customFormat="1" ht="12.95" customHeight="1">
      <c r="A1304" s="26" t="s">
        <v>3735</v>
      </c>
      <c r="B1304" s="26"/>
      <c r="C1304" s="26" t="s">
        <v>5641</v>
      </c>
      <c r="D1304" s="26"/>
      <c r="E1304" s="26"/>
    </row>
    <row r="1305" spans="1:5" s="16" customFormat="1" ht="12.95" customHeight="1">
      <c r="A1305" s="26" t="s">
        <v>744</v>
      </c>
      <c r="B1305" s="26"/>
      <c r="C1305" s="26" t="s">
        <v>5642</v>
      </c>
      <c r="D1305" s="26"/>
      <c r="E1305" s="26"/>
    </row>
    <row r="1306" spans="1:5" s="16" customFormat="1" ht="12.95" customHeight="1">
      <c r="A1306" s="26" t="s">
        <v>5643</v>
      </c>
      <c r="B1306" s="26"/>
      <c r="C1306" s="26" t="s">
        <v>5630</v>
      </c>
      <c r="D1306" s="26"/>
      <c r="E1306" s="26"/>
    </row>
    <row r="1307" spans="1:5" s="16" customFormat="1" ht="12.95" customHeight="1">
      <c r="A1307" s="26" t="s">
        <v>5644</v>
      </c>
      <c r="B1307" s="26"/>
      <c r="C1307" s="26" t="s">
        <v>5645</v>
      </c>
      <c r="D1307" s="26"/>
      <c r="E1307" s="26"/>
    </row>
    <row r="1308" spans="1:5" s="16" customFormat="1" ht="12.95" customHeight="1">
      <c r="A1308" s="26" t="s">
        <v>3537</v>
      </c>
      <c r="B1308" s="26"/>
      <c r="C1308" s="26" t="s">
        <v>5646</v>
      </c>
      <c r="D1308" s="26"/>
      <c r="E1308" s="26"/>
    </row>
    <row r="1309" spans="1:5" s="16" customFormat="1" ht="12.95" customHeight="1">
      <c r="A1309" s="26" t="s">
        <v>5647</v>
      </c>
      <c r="B1309" s="26"/>
      <c r="C1309" s="26" t="s">
        <v>5648</v>
      </c>
      <c r="D1309" s="26"/>
      <c r="E1309" s="26"/>
    </row>
    <row r="1310" spans="1:5" s="16" customFormat="1" ht="12.95" customHeight="1">
      <c r="A1310" s="26" t="s">
        <v>5649</v>
      </c>
      <c r="B1310" s="26"/>
      <c r="C1310" s="26" t="s">
        <v>5650</v>
      </c>
      <c r="D1310" s="26"/>
      <c r="E1310" s="26"/>
    </row>
    <row r="1311" spans="1:5" s="16" customFormat="1" ht="12.95" customHeight="1">
      <c r="A1311" s="26" t="s">
        <v>5651</v>
      </c>
      <c r="B1311" s="26"/>
      <c r="C1311" s="26" t="s">
        <v>5652</v>
      </c>
      <c r="D1311" s="26"/>
      <c r="E1311" s="26"/>
    </row>
    <row r="1312" spans="1:5" s="16" customFormat="1" ht="12.95" customHeight="1">
      <c r="A1312" s="26" t="s">
        <v>5653</v>
      </c>
      <c r="B1312" s="26"/>
      <c r="C1312" s="26" t="s">
        <v>5640</v>
      </c>
      <c r="D1312" s="26"/>
      <c r="E1312" s="26"/>
    </row>
    <row r="1313" spans="1:5" s="16" customFormat="1" ht="12.95" customHeight="1">
      <c r="A1313" s="26" t="s">
        <v>5654</v>
      </c>
      <c r="B1313" s="26"/>
      <c r="C1313" s="26" t="s">
        <v>5642</v>
      </c>
      <c r="D1313" s="26"/>
      <c r="E1313" s="26"/>
    </row>
    <row r="1314" spans="1:5" s="16" customFormat="1" ht="12.95" customHeight="1">
      <c r="A1314" s="26" t="s">
        <v>87</v>
      </c>
      <c r="B1314" s="26"/>
      <c r="C1314" s="26" t="s">
        <v>5630</v>
      </c>
      <c r="D1314" s="26"/>
      <c r="E1314" s="26"/>
    </row>
    <row r="1315" spans="1:5" s="16" customFormat="1" ht="12.95" customHeight="1">
      <c r="A1315" s="26" t="s">
        <v>5655</v>
      </c>
      <c r="B1315" s="26"/>
      <c r="C1315" s="26" t="s">
        <v>5652</v>
      </c>
      <c r="D1315" s="26"/>
      <c r="E1315" s="26"/>
    </row>
    <row r="1316" spans="1:5" s="16" customFormat="1" ht="12.95" customHeight="1">
      <c r="A1316" s="26" t="s">
        <v>5656</v>
      </c>
      <c r="B1316" s="26"/>
      <c r="C1316" s="26" t="s">
        <v>5657</v>
      </c>
      <c r="D1316" s="26"/>
      <c r="E1316" s="26"/>
    </row>
    <row r="1317" spans="1:5" s="16" customFormat="1" ht="12.95" customHeight="1">
      <c r="A1317" s="26" t="s">
        <v>5658</v>
      </c>
      <c r="B1317" s="26"/>
      <c r="C1317" s="26" t="s">
        <v>5640</v>
      </c>
      <c r="D1317" s="26"/>
      <c r="E1317" s="26"/>
    </row>
    <row r="1318" spans="1:5" s="16" customFormat="1" ht="12.95" customHeight="1">
      <c r="A1318" s="26" t="s">
        <v>5659</v>
      </c>
      <c r="B1318" s="26"/>
      <c r="C1318" s="26" t="s">
        <v>5660</v>
      </c>
      <c r="D1318" s="26"/>
      <c r="E1318" s="26"/>
    </row>
    <row r="1319" spans="1:5" s="16" customFormat="1" ht="12.95" customHeight="1">
      <c r="A1319" s="26" t="s">
        <v>5661</v>
      </c>
      <c r="B1319" s="26"/>
      <c r="C1319" s="26" t="s">
        <v>5662</v>
      </c>
      <c r="D1319" s="26"/>
      <c r="E1319" s="26"/>
    </row>
    <row r="1320" spans="1:5" s="16" customFormat="1" ht="12.95" customHeight="1">
      <c r="A1320" s="26" t="s">
        <v>5663</v>
      </c>
      <c r="B1320" s="26"/>
      <c r="C1320" s="26" t="s">
        <v>5664</v>
      </c>
      <c r="D1320" s="26"/>
      <c r="E1320" s="26"/>
    </row>
    <row r="1321" spans="1:5" s="16" customFormat="1" ht="12.95" customHeight="1">
      <c r="A1321" s="26" t="s">
        <v>5665</v>
      </c>
      <c r="B1321" s="26"/>
      <c r="C1321" s="26" t="s">
        <v>5666</v>
      </c>
      <c r="D1321" s="26"/>
      <c r="E1321" s="26"/>
    </row>
    <row r="1322" spans="1:5" s="16" customFormat="1" ht="12.95" customHeight="1">
      <c r="A1322" s="26" t="s">
        <v>5667</v>
      </c>
      <c r="B1322" s="26"/>
      <c r="C1322" s="26" t="s">
        <v>5668</v>
      </c>
      <c r="D1322" s="26"/>
      <c r="E1322" s="26"/>
    </row>
    <row r="1323" spans="1:5" s="16" customFormat="1" ht="12.95" customHeight="1">
      <c r="A1323" s="26" t="s">
        <v>5669</v>
      </c>
      <c r="B1323" s="26"/>
      <c r="C1323" s="26" t="s">
        <v>5670</v>
      </c>
      <c r="D1323" s="26"/>
      <c r="E1323" s="26"/>
    </row>
    <row r="1324" spans="1:5" s="16" customFormat="1" ht="12.95" customHeight="1">
      <c r="A1324" s="26" t="s">
        <v>5671</v>
      </c>
      <c r="B1324" s="26"/>
      <c r="C1324" s="26" t="s">
        <v>5672</v>
      </c>
      <c r="D1324" s="26"/>
      <c r="E1324" s="26"/>
    </row>
    <row r="1325" spans="1:5" s="16" customFormat="1" ht="12.95" customHeight="1">
      <c r="A1325" s="26" t="s">
        <v>5673</v>
      </c>
      <c r="B1325" s="26"/>
      <c r="C1325" s="26" t="s">
        <v>5670</v>
      </c>
      <c r="D1325" s="26"/>
      <c r="E1325" s="26"/>
    </row>
    <row r="1326" spans="1:5" s="16" customFormat="1" ht="12.95" customHeight="1">
      <c r="A1326" s="26" t="s">
        <v>5674</v>
      </c>
      <c r="B1326" s="26"/>
      <c r="C1326" s="26" t="s">
        <v>5672</v>
      </c>
      <c r="D1326" s="26"/>
      <c r="E1326" s="26"/>
    </row>
    <row r="1327" spans="1:5" s="16" customFormat="1" ht="12.95" customHeight="1">
      <c r="A1327" s="26" t="s">
        <v>5675</v>
      </c>
      <c r="B1327" s="26"/>
      <c r="C1327" s="26" t="s">
        <v>5670</v>
      </c>
      <c r="D1327" s="26"/>
      <c r="E1327" s="26"/>
    </row>
    <row r="1328" spans="1:5" s="16" customFormat="1" ht="12.95" customHeight="1">
      <c r="A1328" s="26" t="s">
        <v>5676</v>
      </c>
      <c r="B1328" s="26"/>
      <c r="C1328" s="26" t="s">
        <v>5668</v>
      </c>
      <c r="D1328" s="26"/>
      <c r="E1328" s="26"/>
    </row>
    <row r="1329" spans="1:5" s="16" customFormat="1" ht="12.95" customHeight="1">
      <c r="A1329" s="26" t="s">
        <v>5677</v>
      </c>
      <c r="B1329" s="26"/>
      <c r="C1329" s="26" t="s">
        <v>5678</v>
      </c>
      <c r="D1329" s="26"/>
      <c r="E1329" s="26"/>
    </row>
    <row r="1330" spans="1:5" s="16" customFormat="1" ht="12.95" customHeight="1">
      <c r="A1330" s="26" t="s">
        <v>5679</v>
      </c>
      <c r="B1330" s="26"/>
      <c r="C1330" s="26" t="s">
        <v>5680</v>
      </c>
      <c r="D1330" s="26"/>
      <c r="E1330" s="26"/>
    </row>
    <row r="1331" spans="1:5" s="16" customFormat="1" ht="12.95" customHeight="1">
      <c r="A1331" s="26" t="s">
        <v>5681</v>
      </c>
      <c r="B1331" s="26"/>
      <c r="C1331" s="26" t="s">
        <v>5682</v>
      </c>
      <c r="D1331" s="26"/>
      <c r="E1331" s="26"/>
    </row>
    <row r="1332" spans="1:5" s="16" customFormat="1" ht="12.95" customHeight="1">
      <c r="A1332" s="26" t="s">
        <v>5683</v>
      </c>
      <c r="B1332" s="26"/>
      <c r="C1332" s="26" t="s">
        <v>5684</v>
      </c>
      <c r="D1332" s="26"/>
      <c r="E1332" s="26"/>
    </row>
    <row r="1333" spans="1:5" s="16" customFormat="1" ht="12.95" customHeight="1">
      <c r="A1333" s="26" t="s">
        <v>5685</v>
      </c>
      <c r="B1333" s="26"/>
      <c r="C1333" s="26" t="s">
        <v>5686</v>
      </c>
      <c r="D1333" s="26"/>
      <c r="E1333" s="26"/>
    </row>
    <row r="1334" spans="1:5" s="16" customFormat="1" ht="12.95" customHeight="1">
      <c r="A1334" s="26" t="s">
        <v>5687</v>
      </c>
      <c r="B1334" s="26"/>
      <c r="C1334" s="26" t="s">
        <v>5688</v>
      </c>
      <c r="D1334" s="26"/>
      <c r="E1334" s="26"/>
    </row>
    <row r="1335" spans="1:5" s="16" customFormat="1" ht="12.95" customHeight="1">
      <c r="A1335" s="26" t="s">
        <v>1916</v>
      </c>
      <c r="B1335" s="26"/>
      <c r="C1335" s="26" t="s">
        <v>5689</v>
      </c>
      <c r="D1335" s="26"/>
      <c r="E1335" s="26"/>
    </row>
    <row r="1336" spans="1:5" s="16" customFormat="1" ht="12.95" customHeight="1">
      <c r="A1336" s="26" t="s">
        <v>5690</v>
      </c>
      <c r="B1336" s="26"/>
      <c r="C1336" s="26" t="s">
        <v>5691</v>
      </c>
      <c r="D1336" s="26"/>
      <c r="E1336" s="26"/>
    </row>
    <row r="1337" spans="1:5" s="16" customFormat="1" ht="12.95" customHeight="1">
      <c r="A1337" s="26" t="s">
        <v>5692</v>
      </c>
      <c r="B1337" s="26"/>
      <c r="C1337" s="26" t="s">
        <v>5693</v>
      </c>
      <c r="D1337" s="26"/>
      <c r="E1337" s="26"/>
    </row>
    <row r="1338" spans="1:5" s="16" customFormat="1" ht="12.95" customHeight="1">
      <c r="A1338" s="26" t="s">
        <v>5694</v>
      </c>
      <c r="B1338" s="26"/>
      <c r="C1338" s="26" t="s">
        <v>5695</v>
      </c>
      <c r="D1338" s="26"/>
      <c r="E1338" s="26"/>
    </row>
    <row r="1339" spans="1:5" s="16" customFormat="1" ht="12.95" customHeight="1">
      <c r="A1339" s="26" t="s">
        <v>5696</v>
      </c>
      <c r="B1339" s="26"/>
      <c r="C1339" s="26" t="s">
        <v>5697</v>
      </c>
      <c r="D1339" s="26"/>
      <c r="E1339" s="26"/>
    </row>
    <row r="1340" spans="1:5" s="16" customFormat="1" ht="12.95" customHeight="1">
      <c r="A1340" s="26" t="s">
        <v>5698</v>
      </c>
      <c r="B1340" s="26"/>
      <c r="C1340" s="26" t="s">
        <v>5699</v>
      </c>
      <c r="D1340" s="26"/>
      <c r="E1340" s="26"/>
    </row>
    <row r="1341" spans="1:5" s="16" customFormat="1" ht="12.95" customHeight="1">
      <c r="A1341" s="26" t="s">
        <v>5700</v>
      </c>
      <c r="B1341" s="26"/>
      <c r="C1341" s="26" t="s">
        <v>5701</v>
      </c>
      <c r="D1341" s="26"/>
      <c r="E1341" s="26"/>
    </row>
    <row r="1342" spans="1:5" s="16" customFormat="1" ht="12.95" customHeight="1">
      <c r="A1342" s="26" t="s">
        <v>1181</v>
      </c>
      <c r="B1342" s="26"/>
      <c r="C1342" s="26" t="s">
        <v>4646</v>
      </c>
      <c r="D1342" s="26"/>
      <c r="E1342" s="26"/>
    </row>
    <row r="1343" spans="1:5" s="16" customFormat="1" ht="12.95" customHeight="1">
      <c r="A1343" s="26" t="s">
        <v>5702</v>
      </c>
      <c r="B1343" s="26"/>
      <c r="C1343" s="26" t="s">
        <v>5703</v>
      </c>
      <c r="D1343" s="26"/>
      <c r="E1343" s="26"/>
    </row>
    <row r="1344" spans="1:5" s="16" customFormat="1" ht="12.95" customHeight="1">
      <c r="A1344" s="26" t="s">
        <v>5704</v>
      </c>
      <c r="B1344" s="26"/>
      <c r="C1344" s="26" t="s">
        <v>5705</v>
      </c>
      <c r="D1344" s="26"/>
      <c r="E1344" s="26"/>
    </row>
    <row r="1345" spans="1:5" s="16" customFormat="1" ht="12.95" customHeight="1">
      <c r="A1345" s="26" t="s">
        <v>5706</v>
      </c>
      <c r="B1345" s="26"/>
      <c r="C1345" s="26" t="s">
        <v>5707</v>
      </c>
      <c r="D1345" s="26"/>
      <c r="E1345" s="26"/>
    </row>
    <row r="1346" spans="1:5" s="16" customFormat="1" ht="12.95" customHeight="1">
      <c r="A1346" s="26" t="s">
        <v>5708</v>
      </c>
      <c r="B1346" s="26"/>
      <c r="C1346" s="26" t="s">
        <v>5709</v>
      </c>
      <c r="D1346" s="26"/>
      <c r="E1346" s="26"/>
    </row>
    <row r="1347" spans="1:5" s="16" customFormat="1" ht="12.95" customHeight="1">
      <c r="A1347" s="26" t="s">
        <v>5710</v>
      </c>
      <c r="B1347" s="26"/>
      <c r="C1347" s="26" t="s">
        <v>5711</v>
      </c>
      <c r="D1347" s="26"/>
      <c r="E1347" s="26"/>
    </row>
    <row r="1348" spans="1:5" s="16" customFormat="1" ht="12.95" customHeight="1">
      <c r="A1348" s="26" t="s">
        <v>3075</v>
      </c>
      <c r="B1348" s="26"/>
      <c r="C1348" s="26" t="s">
        <v>5712</v>
      </c>
      <c r="D1348" s="26"/>
      <c r="E1348" s="26"/>
    </row>
    <row r="1349" spans="1:5" s="16" customFormat="1" ht="12.95" customHeight="1">
      <c r="A1349" s="26" t="s">
        <v>5713</v>
      </c>
      <c r="B1349" s="26"/>
      <c r="C1349" s="26" t="s">
        <v>5714</v>
      </c>
      <c r="D1349" s="26"/>
      <c r="E1349" s="26"/>
    </row>
    <row r="1350" spans="1:5" s="16" customFormat="1" ht="12.95" customHeight="1">
      <c r="A1350" s="26" t="s">
        <v>5715</v>
      </c>
      <c r="B1350" s="26"/>
      <c r="C1350" s="26" t="s">
        <v>4646</v>
      </c>
      <c r="D1350" s="26"/>
      <c r="E1350" s="26"/>
    </row>
    <row r="1351" spans="1:5" s="16" customFormat="1" ht="12.95" customHeight="1">
      <c r="A1351" s="26" t="s">
        <v>4594</v>
      </c>
      <c r="B1351" s="26"/>
      <c r="C1351" s="26" t="s">
        <v>5703</v>
      </c>
      <c r="D1351" s="26"/>
      <c r="E1351" s="26"/>
    </row>
    <row r="1352" spans="1:5" s="16" customFormat="1" ht="12.95" customHeight="1">
      <c r="A1352" s="26" t="s">
        <v>5716</v>
      </c>
      <c r="B1352" s="26"/>
      <c r="C1352" s="26" t="s">
        <v>5705</v>
      </c>
      <c r="D1352" s="26"/>
      <c r="E1352" s="26"/>
    </row>
    <row r="1353" spans="1:5" s="16" customFormat="1" ht="12.95" customHeight="1">
      <c r="A1353" s="26" t="s">
        <v>5717</v>
      </c>
      <c r="B1353" s="26"/>
      <c r="C1353" s="26" t="s">
        <v>5707</v>
      </c>
      <c r="D1353" s="26"/>
      <c r="E1353" s="26"/>
    </row>
    <row r="1354" spans="1:5" s="16" customFormat="1" ht="12.95" customHeight="1">
      <c r="A1354" s="26" t="s">
        <v>5718</v>
      </c>
      <c r="B1354" s="26"/>
      <c r="C1354" s="26" t="s">
        <v>5709</v>
      </c>
      <c r="D1354" s="26"/>
      <c r="E1354" s="26"/>
    </row>
    <row r="1355" spans="1:5" s="16" customFormat="1" ht="12.95" customHeight="1">
      <c r="A1355" s="26" t="s">
        <v>5719</v>
      </c>
      <c r="B1355" s="26"/>
      <c r="C1355" s="26" t="s">
        <v>5711</v>
      </c>
      <c r="D1355" s="26"/>
      <c r="E1355" s="26"/>
    </row>
    <row r="1356" spans="1:5" s="16" customFormat="1" ht="12.95" customHeight="1">
      <c r="A1356" s="26" t="s">
        <v>5720</v>
      </c>
      <c r="B1356" s="26"/>
      <c r="C1356" s="26" t="s">
        <v>5712</v>
      </c>
      <c r="D1356" s="26"/>
      <c r="E1356" s="26"/>
    </row>
    <row r="1357" spans="1:5" s="16" customFormat="1" ht="12.95" customHeight="1">
      <c r="A1357" s="26" t="s">
        <v>5721</v>
      </c>
      <c r="B1357" s="26"/>
      <c r="C1357" s="26" t="s">
        <v>5722</v>
      </c>
      <c r="D1357" s="26"/>
      <c r="E1357" s="26"/>
    </row>
    <row r="1358" spans="1:5" s="16" customFormat="1" ht="12.95" customHeight="1">
      <c r="A1358" s="26" t="s">
        <v>5723</v>
      </c>
      <c r="B1358" s="26"/>
      <c r="C1358" s="26" t="s">
        <v>5724</v>
      </c>
      <c r="D1358" s="26"/>
      <c r="E1358" s="26"/>
    </row>
    <row r="1359" spans="1:5" s="16" customFormat="1" ht="12.95" customHeight="1">
      <c r="A1359" s="26" t="s">
        <v>5725</v>
      </c>
      <c r="B1359" s="26"/>
      <c r="C1359" s="26" t="s">
        <v>5714</v>
      </c>
      <c r="D1359" s="26"/>
      <c r="E1359" s="26"/>
    </row>
    <row r="1360" spans="1:5" s="16" customFormat="1" ht="12.95" customHeight="1">
      <c r="A1360" s="26" t="s">
        <v>5726</v>
      </c>
      <c r="B1360" s="26"/>
      <c r="C1360" s="26" t="s">
        <v>5727</v>
      </c>
      <c r="D1360" s="26"/>
      <c r="E1360" s="26"/>
    </row>
    <row r="1361" spans="1:5" s="16" customFormat="1" ht="12.95" customHeight="1">
      <c r="A1361" s="26" t="s">
        <v>5728</v>
      </c>
      <c r="B1361" s="26"/>
      <c r="C1361" s="26" t="s">
        <v>5729</v>
      </c>
      <c r="D1361" s="26"/>
      <c r="E1361" s="26"/>
    </row>
    <row r="1362" spans="1:5" s="16" customFormat="1" ht="12.95" customHeight="1">
      <c r="A1362" s="26" t="s">
        <v>5730</v>
      </c>
      <c r="B1362" s="26"/>
      <c r="C1362" s="26" t="s">
        <v>4646</v>
      </c>
      <c r="D1362" s="26"/>
      <c r="E1362" s="26"/>
    </row>
    <row r="1363" spans="1:5" s="16" customFormat="1" ht="12.95" customHeight="1">
      <c r="A1363" s="26" t="s">
        <v>5731</v>
      </c>
      <c r="B1363" s="26"/>
      <c r="C1363" s="26" t="s">
        <v>5727</v>
      </c>
      <c r="D1363" s="26"/>
      <c r="E1363" s="26"/>
    </row>
    <row r="1364" spans="1:5" s="16" customFormat="1" ht="12.95" customHeight="1">
      <c r="A1364" s="26" t="s">
        <v>5732</v>
      </c>
      <c r="B1364" s="26"/>
      <c r="C1364" s="26" t="s">
        <v>5733</v>
      </c>
      <c r="D1364" s="26"/>
      <c r="E1364" s="26"/>
    </row>
    <row r="1365" spans="1:5" s="16" customFormat="1" ht="12.95" customHeight="1">
      <c r="A1365" s="26" t="s">
        <v>5734</v>
      </c>
      <c r="B1365" s="26"/>
      <c r="C1365" s="26" t="s">
        <v>5735</v>
      </c>
      <c r="D1365" s="26"/>
      <c r="E1365" s="26"/>
    </row>
    <row r="1366" spans="1:5" s="16" customFormat="1" ht="12.95" customHeight="1">
      <c r="A1366" s="26" t="s">
        <v>292</v>
      </c>
      <c r="B1366" s="26"/>
      <c r="C1366" s="26" t="s">
        <v>5736</v>
      </c>
      <c r="D1366" s="26"/>
      <c r="E1366" s="26"/>
    </row>
    <row r="1367" spans="1:5" s="16" customFormat="1" ht="12.95" customHeight="1">
      <c r="A1367" s="26" t="s">
        <v>5737</v>
      </c>
      <c r="B1367" s="26"/>
      <c r="C1367" s="26" t="s">
        <v>5735</v>
      </c>
      <c r="D1367" s="26"/>
      <c r="E1367" s="26"/>
    </row>
    <row r="1368" spans="1:5" s="16" customFormat="1" ht="12.95" customHeight="1">
      <c r="A1368" s="26" t="s">
        <v>5738</v>
      </c>
      <c r="B1368" s="26"/>
      <c r="C1368" s="26" t="s">
        <v>5739</v>
      </c>
      <c r="D1368" s="26"/>
      <c r="E1368" s="26"/>
    </row>
    <row r="1369" spans="1:5" s="16" customFormat="1" ht="12.95" customHeight="1">
      <c r="A1369" s="26" t="s">
        <v>5740</v>
      </c>
      <c r="B1369" s="26"/>
      <c r="C1369" s="26" t="s">
        <v>5736</v>
      </c>
      <c r="D1369" s="26"/>
      <c r="E1369" s="26"/>
    </row>
    <row r="1370" spans="1:5" s="16" customFormat="1" ht="12.95" customHeight="1">
      <c r="A1370" s="26" t="s">
        <v>5741</v>
      </c>
      <c r="B1370" s="26"/>
      <c r="C1370" s="26" t="s">
        <v>5735</v>
      </c>
      <c r="D1370" s="26"/>
      <c r="E1370" s="26"/>
    </row>
    <row r="1371" spans="1:5" s="16" customFormat="1" ht="12.95" customHeight="1">
      <c r="A1371" s="26" t="s">
        <v>5742</v>
      </c>
      <c r="B1371" s="26"/>
      <c r="C1371" s="26" t="s">
        <v>5743</v>
      </c>
      <c r="D1371" s="26"/>
      <c r="E1371" s="26"/>
    </row>
    <row r="1372" spans="1:5" s="16" customFormat="1" ht="12.95" customHeight="1">
      <c r="A1372" s="26" t="s">
        <v>5744</v>
      </c>
      <c r="B1372" s="26"/>
      <c r="C1372" s="26" t="s">
        <v>5743</v>
      </c>
      <c r="D1372" s="26"/>
      <c r="E1372" s="26"/>
    </row>
    <row r="1373" spans="1:5" s="16" customFormat="1" ht="12.95" customHeight="1">
      <c r="A1373" s="26" t="s">
        <v>5745</v>
      </c>
      <c r="B1373" s="26"/>
      <c r="C1373" s="26" t="s">
        <v>5746</v>
      </c>
      <c r="D1373" s="26"/>
      <c r="E1373" s="26"/>
    </row>
    <row r="1374" spans="1:5" s="16" customFormat="1" ht="12.95" customHeight="1">
      <c r="A1374" s="26" t="s">
        <v>5747</v>
      </c>
      <c r="B1374" s="26"/>
      <c r="C1374" s="26" t="s">
        <v>5748</v>
      </c>
      <c r="D1374" s="26"/>
      <c r="E1374" s="26"/>
    </row>
    <row r="1375" spans="1:5" s="16" customFormat="1" ht="12.95" customHeight="1">
      <c r="A1375" s="26" t="s">
        <v>5749</v>
      </c>
      <c r="B1375" s="26"/>
      <c r="C1375" s="26" t="s">
        <v>5750</v>
      </c>
      <c r="D1375" s="26"/>
      <c r="E1375" s="26"/>
    </row>
    <row r="1376" spans="1:5" s="16" customFormat="1" ht="12.95" customHeight="1">
      <c r="A1376" s="26" t="s">
        <v>5751</v>
      </c>
      <c r="B1376" s="26"/>
      <c r="C1376" s="26" t="s">
        <v>5752</v>
      </c>
      <c r="D1376" s="26"/>
      <c r="E1376" s="26"/>
    </row>
    <row r="1377" spans="1:5" s="16" customFormat="1" ht="12.95" customHeight="1">
      <c r="A1377" s="26" t="s">
        <v>5753</v>
      </c>
      <c r="B1377" s="26"/>
      <c r="C1377" s="26" t="s">
        <v>5754</v>
      </c>
      <c r="D1377" s="26"/>
      <c r="E1377" s="26"/>
    </row>
    <row r="1378" spans="1:5" s="16" customFormat="1" ht="12.95" customHeight="1">
      <c r="A1378" s="26" t="s">
        <v>5755</v>
      </c>
      <c r="B1378" s="26"/>
      <c r="C1378" s="26" t="s">
        <v>5754</v>
      </c>
      <c r="D1378" s="26"/>
      <c r="E1378" s="26"/>
    </row>
    <row r="1379" spans="1:5" s="16" customFormat="1" ht="12.95" customHeight="1">
      <c r="A1379" s="26" t="s">
        <v>5756</v>
      </c>
      <c r="B1379" s="26"/>
      <c r="C1379" s="26" t="s">
        <v>5757</v>
      </c>
      <c r="D1379" s="26"/>
      <c r="E1379" s="26"/>
    </row>
    <row r="1380" spans="1:5" s="16" customFormat="1" ht="12.95" customHeight="1">
      <c r="A1380" s="26" t="s">
        <v>5758</v>
      </c>
      <c r="B1380" s="26"/>
      <c r="C1380" s="26" t="s">
        <v>5750</v>
      </c>
      <c r="D1380" s="26"/>
      <c r="E1380" s="26"/>
    </row>
    <row r="1381" spans="1:5" s="16" customFormat="1" ht="12.95" customHeight="1">
      <c r="A1381" s="26" t="s">
        <v>5759</v>
      </c>
      <c r="B1381" s="26"/>
      <c r="C1381" s="26" t="s">
        <v>5760</v>
      </c>
      <c r="D1381" s="26"/>
      <c r="E1381" s="26"/>
    </row>
    <row r="1382" spans="1:5" s="16" customFormat="1" ht="12.95" customHeight="1">
      <c r="A1382" s="26" t="s">
        <v>5761</v>
      </c>
      <c r="B1382" s="26"/>
      <c r="C1382" s="26" t="s">
        <v>5754</v>
      </c>
      <c r="D1382" s="26"/>
      <c r="E1382" s="26"/>
    </row>
    <row r="1383" spans="1:5" s="16" customFormat="1" ht="12.95" customHeight="1">
      <c r="A1383" s="26" t="s">
        <v>5762</v>
      </c>
      <c r="B1383" s="26"/>
      <c r="C1383" s="26" t="s">
        <v>5763</v>
      </c>
      <c r="D1383" s="26"/>
      <c r="E1383" s="26"/>
    </row>
    <row r="1384" spans="1:5" s="16" customFormat="1" ht="12.95" customHeight="1">
      <c r="A1384" s="26" t="s">
        <v>5764</v>
      </c>
      <c r="B1384" s="26"/>
      <c r="C1384" s="26" t="s">
        <v>5765</v>
      </c>
      <c r="D1384" s="26"/>
      <c r="E1384" s="26"/>
    </row>
    <row r="1385" spans="1:5" s="16" customFormat="1" ht="12.95" customHeight="1">
      <c r="A1385" s="26" t="s">
        <v>5766</v>
      </c>
      <c r="B1385" s="26"/>
      <c r="C1385" s="26" t="s">
        <v>5767</v>
      </c>
      <c r="D1385" s="26"/>
      <c r="E1385" s="26"/>
    </row>
    <row r="1386" spans="1:5" s="16" customFormat="1" ht="12.95" customHeight="1">
      <c r="A1386" s="26" t="s">
        <v>5768</v>
      </c>
      <c r="B1386" s="26"/>
      <c r="C1386" s="26" t="s">
        <v>5769</v>
      </c>
      <c r="D1386" s="26"/>
      <c r="E1386" s="26"/>
    </row>
    <row r="1387" spans="1:5" s="16" customFormat="1" ht="12.95" customHeight="1">
      <c r="A1387" s="26" t="s">
        <v>5770</v>
      </c>
      <c r="B1387" s="26"/>
      <c r="C1387" s="26" t="s">
        <v>5771</v>
      </c>
      <c r="D1387" s="26"/>
      <c r="E1387" s="26"/>
    </row>
    <row r="1388" spans="1:5" s="16" customFormat="1" ht="12.95" customHeight="1">
      <c r="A1388" s="26" t="s">
        <v>5772</v>
      </c>
      <c r="B1388" s="26"/>
      <c r="C1388" s="26" t="s">
        <v>5771</v>
      </c>
      <c r="D1388" s="26"/>
      <c r="E1388" s="26"/>
    </row>
    <row r="1389" spans="1:5" s="16" customFormat="1" ht="12.95" customHeight="1">
      <c r="A1389" s="26" t="s">
        <v>5773</v>
      </c>
      <c r="B1389" s="26"/>
      <c r="C1389" s="26" t="s">
        <v>5774</v>
      </c>
      <c r="D1389" s="26"/>
      <c r="E1389" s="26"/>
    </row>
    <row r="1390" spans="1:5" s="16" customFormat="1" ht="12.95" customHeight="1">
      <c r="A1390" s="26" t="s">
        <v>5775</v>
      </c>
      <c r="B1390" s="26"/>
      <c r="C1390" s="26" t="s">
        <v>5776</v>
      </c>
      <c r="D1390" s="26"/>
      <c r="E1390" s="26"/>
    </row>
    <row r="1391" spans="1:5" s="16" customFormat="1" ht="12.95" customHeight="1">
      <c r="A1391" s="26" t="s">
        <v>5777</v>
      </c>
      <c r="B1391" s="26"/>
      <c r="C1391" s="26" t="s">
        <v>5778</v>
      </c>
      <c r="D1391" s="26"/>
      <c r="E1391" s="26"/>
    </row>
    <row r="1392" spans="1:5" s="16" customFormat="1" ht="12.95" customHeight="1">
      <c r="A1392" s="26" t="s">
        <v>5779</v>
      </c>
      <c r="B1392" s="26"/>
      <c r="C1392" s="26" t="s">
        <v>5780</v>
      </c>
      <c r="D1392" s="26"/>
      <c r="E1392" s="26"/>
    </row>
    <row r="1393" spans="1:5" s="16" customFormat="1" ht="12.95" customHeight="1">
      <c r="A1393" s="26" t="s">
        <v>5781</v>
      </c>
      <c r="B1393" s="26"/>
      <c r="C1393" s="26" t="s">
        <v>5776</v>
      </c>
      <c r="D1393" s="26"/>
      <c r="E1393" s="26"/>
    </row>
    <row r="1394" spans="1:5" s="16" customFormat="1" ht="12.95" customHeight="1">
      <c r="A1394" s="26" t="s">
        <v>5782</v>
      </c>
      <c r="B1394" s="26"/>
      <c r="C1394" s="26" t="s">
        <v>5783</v>
      </c>
      <c r="D1394" s="26"/>
      <c r="E1394" s="26"/>
    </row>
    <row r="1395" spans="1:5" s="16" customFormat="1" ht="12.95" customHeight="1">
      <c r="A1395" s="26" t="s">
        <v>5784</v>
      </c>
      <c r="B1395" s="26"/>
      <c r="C1395" s="26" t="s">
        <v>5785</v>
      </c>
      <c r="D1395" s="26"/>
      <c r="E1395" s="26"/>
    </row>
    <row r="1396" spans="1:5" s="16" customFormat="1" ht="12.95" customHeight="1">
      <c r="A1396" s="26" t="s">
        <v>5786</v>
      </c>
      <c r="B1396" s="26"/>
      <c r="C1396" s="26" t="s">
        <v>5787</v>
      </c>
      <c r="D1396" s="26"/>
      <c r="E1396" s="26"/>
    </row>
    <row r="1397" spans="1:5" s="16" customFormat="1" ht="12.95" customHeight="1">
      <c r="A1397" s="26" t="s">
        <v>5788</v>
      </c>
      <c r="B1397" s="26"/>
      <c r="C1397" s="26" t="s">
        <v>5789</v>
      </c>
      <c r="D1397" s="26"/>
      <c r="E1397" s="26"/>
    </row>
    <row r="1398" spans="1:5" s="16" customFormat="1" ht="12.95" customHeight="1">
      <c r="A1398" s="26" t="s">
        <v>5790</v>
      </c>
      <c r="B1398" s="26"/>
      <c r="C1398" s="26" t="s">
        <v>5791</v>
      </c>
      <c r="D1398" s="26"/>
      <c r="E1398" s="26"/>
    </row>
    <row r="1399" spans="1:5" s="16" customFormat="1" ht="12.95" customHeight="1">
      <c r="A1399" s="26" t="s">
        <v>5792</v>
      </c>
      <c r="B1399" s="26"/>
      <c r="C1399" s="26" t="s">
        <v>5793</v>
      </c>
      <c r="D1399" s="26"/>
      <c r="E1399" s="26"/>
    </row>
    <row r="1400" spans="1:5" s="16" customFormat="1" ht="12.95" customHeight="1">
      <c r="A1400" s="26" t="s">
        <v>275</v>
      </c>
      <c r="B1400" s="26"/>
      <c r="C1400" s="26" t="s">
        <v>5794</v>
      </c>
      <c r="D1400" s="26"/>
      <c r="E1400" s="26"/>
    </row>
    <row r="1401" spans="1:5" s="16" customFormat="1" ht="12.95" customHeight="1">
      <c r="A1401" s="26" t="s">
        <v>5795</v>
      </c>
      <c r="B1401" s="26"/>
      <c r="C1401" s="26" t="s">
        <v>5796</v>
      </c>
      <c r="D1401" s="26"/>
      <c r="E1401" s="26"/>
    </row>
    <row r="1402" spans="1:5" s="16" customFormat="1" ht="12.95" customHeight="1">
      <c r="A1402" s="26" t="s">
        <v>5797</v>
      </c>
      <c r="B1402" s="26"/>
      <c r="C1402" s="26" t="s">
        <v>5798</v>
      </c>
      <c r="D1402" s="26"/>
      <c r="E1402" s="26"/>
    </row>
    <row r="1403" spans="1:5" s="16" customFormat="1" ht="12.95" customHeight="1">
      <c r="A1403" s="26" t="s">
        <v>5799</v>
      </c>
      <c r="B1403" s="26"/>
      <c r="C1403" s="26" t="s">
        <v>5800</v>
      </c>
      <c r="D1403" s="26"/>
      <c r="E1403" s="26"/>
    </row>
    <row r="1404" spans="1:5" s="16" customFormat="1" ht="12.95" customHeight="1">
      <c r="A1404" s="26" t="s">
        <v>5801</v>
      </c>
      <c r="B1404" s="26"/>
      <c r="C1404" s="26" t="s">
        <v>5800</v>
      </c>
      <c r="D1404" s="26"/>
      <c r="E1404" s="26"/>
    </row>
    <row r="1405" spans="1:5" s="16" customFormat="1" ht="12.95" customHeight="1">
      <c r="A1405" s="26" t="s">
        <v>5802</v>
      </c>
      <c r="B1405" s="26"/>
      <c r="C1405" s="26" t="s">
        <v>5800</v>
      </c>
      <c r="D1405" s="26"/>
      <c r="E1405" s="26"/>
    </row>
    <row r="1406" spans="1:5" s="16" customFormat="1" ht="12.95" customHeight="1">
      <c r="A1406" s="26" t="s">
        <v>5803</v>
      </c>
      <c r="B1406" s="26"/>
      <c r="C1406" s="26" t="s">
        <v>5804</v>
      </c>
      <c r="D1406" s="26"/>
      <c r="E1406" s="26"/>
    </row>
    <row r="1407" spans="1:5" s="16" customFormat="1" ht="12.95" customHeight="1">
      <c r="A1407" s="26" t="s">
        <v>5805</v>
      </c>
      <c r="B1407" s="26"/>
      <c r="C1407" s="26" t="s">
        <v>5806</v>
      </c>
      <c r="D1407" s="26"/>
      <c r="E1407" s="26"/>
    </row>
    <row r="1408" spans="1:5" s="16" customFormat="1" ht="12.95" customHeight="1">
      <c r="A1408" s="26" t="s">
        <v>5807</v>
      </c>
      <c r="B1408" s="26"/>
      <c r="C1408" s="26" t="s">
        <v>5808</v>
      </c>
      <c r="D1408" s="26"/>
      <c r="E1408" s="26"/>
    </row>
    <row r="1409" spans="1:5" s="16" customFormat="1" ht="12.95" customHeight="1">
      <c r="A1409" s="26" t="s">
        <v>5809</v>
      </c>
      <c r="B1409" s="26"/>
      <c r="C1409" s="26" t="s">
        <v>5810</v>
      </c>
      <c r="D1409" s="26"/>
      <c r="E1409" s="26"/>
    </row>
    <row r="1410" spans="1:5" s="16" customFormat="1" ht="12.95" customHeight="1">
      <c r="A1410" s="26" t="s">
        <v>5811</v>
      </c>
      <c r="B1410" s="26"/>
      <c r="C1410" s="26" t="s">
        <v>5812</v>
      </c>
      <c r="D1410" s="26"/>
      <c r="E1410" s="26"/>
    </row>
    <row r="1411" spans="1:5" s="16" customFormat="1" ht="12.95" customHeight="1">
      <c r="A1411" s="26" t="s">
        <v>5813</v>
      </c>
      <c r="B1411" s="26"/>
      <c r="C1411" s="26" t="s">
        <v>5814</v>
      </c>
      <c r="D1411" s="26"/>
      <c r="E1411" s="26"/>
    </row>
    <row r="1412" spans="1:5" s="16" customFormat="1" ht="12.95" customHeight="1">
      <c r="A1412" s="26" t="s">
        <v>5815</v>
      </c>
      <c r="B1412" s="26"/>
      <c r="C1412" s="26" t="s">
        <v>5816</v>
      </c>
      <c r="D1412" s="26"/>
      <c r="E1412" s="26"/>
    </row>
    <row r="1413" spans="1:5" s="16" customFormat="1" ht="12.95" customHeight="1">
      <c r="A1413" s="26" t="s">
        <v>5817</v>
      </c>
      <c r="B1413" s="26"/>
      <c r="C1413" s="26" t="s">
        <v>5818</v>
      </c>
      <c r="D1413" s="26"/>
      <c r="E1413" s="26"/>
    </row>
    <row r="1414" spans="1:5" s="16" customFormat="1" ht="12.95" customHeight="1">
      <c r="A1414" s="26" t="s">
        <v>5819</v>
      </c>
      <c r="B1414" s="26"/>
      <c r="C1414" s="26" t="s">
        <v>5820</v>
      </c>
      <c r="D1414" s="26"/>
      <c r="E1414" s="26"/>
    </row>
    <row r="1415" spans="1:5" s="16" customFormat="1" ht="12.95" customHeight="1">
      <c r="A1415" s="26" t="s">
        <v>5821</v>
      </c>
      <c r="B1415" s="26"/>
      <c r="C1415" s="26" t="s">
        <v>5812</v>
      </c>
      <c r="D1415" s="26"/>
      <c r="E1415" s="26"/>
    </row>
    <row r="1416" spans="1:5" s="16" customFormat="1" ht="12.95" customHeight="1">
      <c r="A1416" s="26" t="s">
        <v>5822</v>
      </c>
      <c r="B1416" s="26"/>
      <c r="C1416" s="26" t="s">
        <v>5814</v>
      </c>
      <c r="D1416" s="26"/>
      <c r="E1416" s="26"/>
    </row>
    <row r="1417" spans="1:5" s="16" customFormat="1" ht="12.95" customHeight="1">
      <c r="A1417" s="26" t="s">
        <v>5823</v>
      </c>
      <c r="B1417" s="26"/>
      <c r="C1417" s="26" t="s">
        <v>5816</v>
      </c>
      <c r="D1417" s="26"/>
      <c r="E1417" s="26"/>
    </row>
    <row r="1418" spans="1:5" s="16" customFormat="1" ht="12.95" customHeight="1">
      <c r="A1418" s="26" t="s">
        <v>5824</v>
      </c>
      <c r="B1418" s="26"/>
      <c r="C1418" s="26" t="s">
        <v>5818</v>
      </c>
      <c r="D1418" s="26"/>
      <c r="E1418" s="26"/>
    </row>
    <row r="1419" spans="1:5" s="16" customFormat="1" ht="12.95" customHeight="1">
      <c r="A1419" s="26" t="s">
        <v>5825</v>
      </c>
      <c r="B1419" s="26"/>
      <c r="C1419" s="26" t="s">
        <v>5826</v>
      </c>
      <c r="D1419" s="26"/>
      <c r="E1419" s="26"/>
    </row>
    <row r="1420" spans="1:5" s="16" customFormat="1" ht="12.95" customHeight="1">
      <c r="A1420" s="26" t="s">
        <v>5827</v>
      </c>
      <c r="B1420" s="26"/>
      <c r="C1420" s="26" t="s">
        <v>5828</v>
      </c>
      <c r="D1420" s="26"/>
      <c r="E1420" s="26"/>
    </row>
    <row r="1421" spans="1:5" s="16" customFormat="1" ht="12.95" customHeight="1">
      <c r="A1421" s="26" t="s">
        <v>5829</v>
      </c>
      <c r="B1421" s="26"/>
      <c r="C1421" s="26" t="s">
        <v>5828</v>
      </c>
      <c r="D1421" s="26"/>
      <c r="E1421" s="26"/>
    </row>
    <row r="1422" spans="1:5" s="16" customFormat="1" ht="12.95" customHeight="1">
      <c r="A1422" s="26" t="s">
        <v>5830</v>
      </c>
      <c r="B1422" s="26"/>
      <c r="C1422" s="26" t="s">
        <v>5826</v>
      </c>
      <c r="D1422" s="26"/>
      <c r="E1422" s="26"/>
    </row>
    <row r="1423" spans="1:5" s="16" customFormat="1" ht="12.95" customHeight="1">
      <c r="A1423" s="26" t="s">
        <v>5831</v>
      </c>
      <c r="B1423" s="26"/>
      <c r="C1423" s="26" t="s">
        <v>5832</v>
      </c>
      <c r="D1423" s="26"/>
      <c r="E1423" s="26"/>
    </row>
    <row r="1424" spans="1:5" s="16" customFormat="1" ht="12.95" customHeight="1">
      <c r="A1424" s="26" t="s">
        <v>5833</v>
      </c>
      <c r="B1424" s="26"/>
      <c r="C1424" s="26" t="s">
        <v>5834</v>
      </c>
      <c r="D1424" s="26"/>
      <c r="E1424" s="26"/>
    </row>
    <row r="1425" spans="1:5" s="16" customFormat="1" ht="12.95" customHeight="1">
      <c r="A1425" s="26" t="s">
        <v>5835</v>
      </c>
      <c r="B1425" s="26"/>
      <c r="C1425" s="26" t="s">
        <v>5836</v>
      </c>
      <c r="D1425" s="26"/>
      <c r="E1425" s="26"/>
    </row>
    <row r="1426" spans="1:5" s="16" customFormat="1" ht="12.95" customHeight="1">
      <c r="A1426" s="26" t="s">
        <v>5837</v>
      </c>
      <c r="B1426" s="26"/>
      <c r="C1426" s="26" t="s">
        <v>5836</v>
      </c>
      <c r="D1426" s="26"/>
      <c r="E1426" s="26"/>
    </row>
    <row r="1427" spans="1:5" s="16" customFormat="1" ht="12.95" customHeight="1">
      <c r="A1427" s="26" t="s">
        <v>5838</v>
      </c>
      <c r="B1427" s="26"/>
      <c r="C1427" s="26" t="s">
        <v>5839</v>
      </c>
      <c r="D1427" s="26"/>
      <c r="E1427" s="26"/>
    </row>
    <row r="1428" spans="1:5" s="16" customFormat="1" ht="12.95" customHeight="1">
      <c r="A1428" s="26" t="s">
        <v>5840</v>
      </c>
      <c r="B1428" s="26"/>
      <c r="C1428" s="26" t="s">
        <v>5839</v>
      </c>
      <c r="D1428" s="26"/>
      <c r="E1428" s="26"/>
    </row>
    <row r="1429" spans="1:5" s="16" customFormat="1" ht="12.95" customHeight="1">
      <c r="A1429" s="26" t="s">
        <v>5841</v>
      </c>
      <c r="B1429" s="26"/>
      <c r="C1429" s="26" t="s">
        <v>5842</v>
      </c>
      <c r="D1429" s="26"/>
      <c r="E1429" s="26"/>
    </row>
    <row r="1430" spans="1:5" s="16" customFormat="1" ht="12.95" customHeight="1">
      <c r="A1430" s="26" t="s">
        <v>5843</v>
      </c>
      <c r="B1430" s="26"/>
      <c r="C1430" s="26" t="s">
        <v>5844</v>
      </c>
      <c r="D1430" s="26"/>
      <c r="E1430" s="26"/>
    </row>
    <row r="1431" spans="1:5" s="16" customFormat="1" ht="12.95" customHeight="1">
      <c r="A1431" s="26" t="s">
        <v>5845</v>
      </c>
      <c r="B1431" s="26"/>
      <c r="C1431" s="26" t="s">
        <v>5846</v>
      </c>
      <c r="D1431" s="26"/>
      <c r="E1431" s="26"/>
    </row>
    <row r="1432" spans="1:5" s="16" customFormat="1" ht="12.95" customHeight="1">
      <c r="A1432" s="26" t="s">
        <v>5847</v>
      </c>
      <c r="B1432" s="26"/>
      <c r="C1432" s="26" t="s">
        <v>5844</v>
      </c>
      <c r="D1432" s="26"/>
      <c r="E1432" s="26"/>
    </row>
    <row r="1433" spans="1:5" s="16" customFormat="1" ht="12.95" customHeight="1">
      <c r="A1433" s="26" t="s">
        <v>5848</v>
      </c>
      <c r="B1433" s="26"/>
      <c r="C1433" s="26" t="s">
        <v>5849</v>
      </c>
      <c r="D1433" s="26"/>
      <c r="E1433" s="26"/>
    </row>
    <row r="1434" spans="1:5" s="16" customFormat="1" ht="12.95" customHeight="1">
      <c r="A1434" s="26" t="s">
        <v>5850</v>
      </c>
      <c r="B1434" s="26"/>
      <c r="C1434" s="26" t="s">
        <v>5851</v>
      </c>
      <c r="D1434" s="26"/>
      <c r="E1434" s="26"/>
    </row>
    <row r="1435" spans="1:5" s="16" customFormat="1" ht="12.95" customHeight="1">
      <c r="A1435" s="26" t="s">
        <v>5852</v>
      </c>
      <c r="B1435" s="26"/>
      <c r="C1435" s="26" t="s">
        <v>5853</v>
      </c>
      <c r="D1435" s="26"/>
      <c r="E1435" s="26"/>
    </row>
    <row r="1436" spans="1:5" s="16" customFormat="1" ht="12.95" customHeight="1">
      <c r="A1436" s="26" t="s">
        <v>5854</v>
      </c>
      <c r="B1436" s="26"/>
      <c r="C1436" s="26" t="s">
        <v>5855</v>
      </c>
      <c r="D1436" s="26"/>
      <c r="E1436" s="26"/>
    </row>
    <row r="1437" spans="1:5" s="16" customFormat="1" ht="12.95" customHeight="1">
      <c r="A1437" s="26" t="s">
        <v>5856</v>
      </c>
      <c r="B1437" s="26"/>
      <c r="C1437" s="26" t="s">
        <v>5857</v>
      </c>
      <c r="D1437" s="26"/>
      <c r="E1437" s="26"/>
    </row>
    <row r="1438" spans="1:5" s="16" customFormat="1" ht="12.95" customHeight="1">
      <c r="A1438" s="26" t="s">
        <v>5858</v>
      </c>
      <c r="B1438" s="26"/>
      <c r="C1438" s="26" t="s">
        <v>5859</v>
      </c>
      <c r="D1438" s="26"/>
      <c r="E1438" s="26"/>
    </row>
    <row r="1439" spans="1:5" s="16" customFormat="1" ht="12.95" customHeight="1">
      <c r="A1439" s="26" t="s">
        <v>5860</v>
      </c>
      <c r="B1439" s="26"/>
      <c r="C1439" s="26" t="s">
        <v>5855</v>
      </c>
      <c r="D1439" s="26"/>
      <c r="E1439" s="26"/>
    </row>
    <row r="1440" spans="1:5" s="16" customFormat="1" ht="12.95" customHeight="1">
      <c r="A1440" s="26" t="s">
        <v>5861</v>
      </c>
      <c r="B1440" s="26"/>
      <c r="C1440" s="26" t="s">
        <v>5862</v>
      </c>
      <c r="D1440" s="26"/>
      <c r="E1440" s="26"/>
    </row>
    <row r="1441" spans="1:5" s="16" customFormat="1" ht="12.95" customHeight="1">
      <c r="A1441" s="26" t="s">
        <v>5863</v>
      </c>
      <c r="B1441" s="26"/>
      <c r="C1441" s="26" t="s">
        <v>5862</v>
      </c>
      <c r="D1441" s="26"/>
      <c r="E1441" s="26"/>
    </row>
    <row r="1442" spans="1:5" s="16" customFormat="1" ht="12.95" customHeight="1">
      <c r="A1442" s="26" t="s">
        <v>5864</v>
      </c>
      <c r="B1442" s="26"/>
      <c r="C1442" s="26" t="s">
        <v>5865</v>
      </c>
      <c r="D1442" s="26"/>
      <c r="E1442" s="26"/>
    </row>
    <row r="1443" spans="1:5" s="16" customFormat="1" ht="12.95" customHeight="1">
      <c r="A1443" s="26" t="s">
        <v>5866</v>
      </c>
      <c r="B1443" s="26"/>
      <c r="C1443" s="26" t="s">
        <v>5867</v>
      </c>
      <c r="D1443" s="26"/>
      <c r="E1443" s="26"/>
    </row>
    <row r="1444" spans="1:5" s="16" customFormat="1" ht="12.95" customHeight="1">
      <c r="A1444" s="26" t="s">
        <v>5868</v>
      </c>
      <c r="B1444" s="26"/>
      <c r="C1444" s="26" t="s">
        <v>5867</v>
      </c>
      <c r="D1444" s="26"/>
      <c r="E1444" s="26"/>
    </row>
    <row r="1445" spans="1:5" s="16" customFormat="1" ht="12.95" customHeight="1">
      <c r="A1445" s="26" t="s">
        <v>5869</v>
      </c>
      <c r="B1445" s="26"/>
      <c r="C1445" s="26" t="s">
        <v>5870</v>
      </c>
      <c r="D1445" s="26"/>
      <c r="E1445" s="26"/>
    </row>
    <row r="1446" spans="1:5" s="16" customFormat="1" ht="12.95" customHeight="1">
      <c r="A1446" s="26" t="s">
        <v>5871</v>
      </c>
      <c r="B1446" s="26"/>
      <c r="C1446" s="26" t="s">
        <v>4648</v>
      </c>
      <c r="D1446" s="26"/>
      <c r="E1446" s="26"/>
    </row>
    <row r="1447" spans="1:5" s="16" customFormat="1" ht="12.95" customHeight="1">
      <c r="A1447" s="26" t="s">
        <v>5872</v>
      </c>
      <c r="B1447" s="26"/>
      <c r="C1447" s="26" t="s">
        <v>5873</v>
      </c>
      <c r="D1447" s="26"/>
      <c r="E1447" s="26"/>
    </row>
    <row r="1448" spans="1:5" s="16" customFormat="1" ht="12.95" customHeight="1">
      <c r="A1448" s="26" t="s">
        <v>5874</v>
      </c>
      <c r="B1448" s="26"/>
      <c r="C1448" s="26" t="s">
        <v>5875</v>
      </c>
      <c r="D1448" s="26"/>
      <c r="E1448" s="26"/>
    </row>
    <row r="1449" spans="1:5" s="16" customFormat="1" ht="12.95" customHeight="1">
      <c r="A1449" s="26" t="s">
        <v>5876</v>
      </c>
      <c r="B1449" s="26"/>
      <c r="C1449" s="26" t="s">
        <v>4648</v>
      </c>
      <c r="D1449" s="26"/>
      <c r="E1449" s="26"/>
    </row>
    <row r="1450" spans="1:5" s="16" customFormat="1" ht="12.95" customHeight="1">
      <c r="A1450" s="26" t="s">
        <v>5877</v>
      </c>
      <c r="B1450" s="26"/>
      <c r="C1450" s="26" t="s">
        <v>5878</v>
      </c>
      <c r="D1450" s="26"/>
      <c r="E1450" s="26"/>
    </row>
    <row r="1451" spans="1:5" s="16" customFormat="1" ht="12.95" customHeight="1">
      <c r="A1451" s="26" t="s">
        <v>5879</v>
      </c>
      <c r="B1451" s="26"/>
      <c r="C1451" s="26" t="s">
        <v>5878</v>
      </c>
      <c r="D1451" s="26"/>
      <c r="E1451" s="26"/>
    </row>
    <row r="1452" spans="1:5" s="16" customFormat="1" ht="12.95" customHeight="1">
      <c r="A1452" s="26" t="s">
        <v>5880</v>
      </c>
      <c r="B1452" s="26"/>
      <c r="C1452" s="26" t="s">
        <v>5881</v>
      </c>
      <c r="D1452" s="26"/>
      <c r="E1452" s="26"/>
    </row>
    <row r="1453" spans="1:5" s="16" customFormat="1" ht="12.95" customHeight="1">
      <c r="A1453" s="26" t="s">
        <v>5882</v>
      </c>
      <c r="B1453" s="26"/>
      <c r="C1453" s="26" t="s">
        <v>5883</v>
      </c>
      <c r="D1453" s="26"/>
      <c r="E1453" s="26"/>
    </row>
    <row r="1454" spans="1:5" s="16" customFormat="1" ht="12.95" customHeight="1">
      <c r="A1454" s="26" t="s">
        <v>5884</v>
      </c>
      <c r="B1454" s="26"/>
      <c r="C1454" s="26" t="s">
        <v>5885</v>
      </c>
      <c r="D1454" s="26"/>
      <c r="E1454" s="26"/>
    </row>
    <row r="1455" spans="1:5" s="16" customFormat="1" ht="12.95" customHeight="1">
      <c r="A1455" s="26" t="s">
        <v>5886</v>
      </c>
      <c r="B1455" s="26"/>
      <c r="C1455" s="26" t="s">
        <v>5885</v>
      </c>
      <c r="D1455" s="26"/>
      <c r="E1455" s="26"/>
    </row>
    <row r="1456" spans="1:5" s="16" customFormat="1" ht="12.95" customHeight="1">
      <c r="A1456" s="26" t="s">
        <v>5887</v>
      </c>
      <c r="B1456" s="26"/>
      <c r="C1456" s="26" t="s">
        <v>5888</v>
      </c>
      <c r="D1456" s="26"/>
      <c r="E1456" s="26"/>
    </row>
    <row r="1457" spans="1:5" s="16" customFormat="1" ht="12.95" customHeight="1">
      <c r="A1457" s="26" t="s">
        <v>5889</v>
      </c>
      <c r="B1457" s="26"/>
      <c r="C1457" s="26" t="s">
        <v>5890</v>
      </c>
      <c r="D1457" s="26"/>
      <c r="E1457" s="26"/>
    </row>
    <row r="1458" spans="1:5" s="16" customFormat="1" ht="12.95" customHeight="1">
      <c r="A1458" s="26" t="s">
        <v>5891</v>
      </c>
      <c r="B1458" s="26"/>
      <c r="C1458" s="26" t="s">
        <v>5892</v>
      </c>
      <c r="D1458" s="26"/>
      <c r="E1458" s="26"/>
    </row>
    <row r="1459" spans="1:5" s="16" customFormat="1" ht="12.95" customHeight="1">
      <c r="A1459" s="26" t="s">
        <v>5893</v>
      </c>
      <c r="B1459" s="26"/>
      <c r="C1459" s="26" t="s">
        <v>5890</v>
      </c>
      <c r="D1459" s="26"/>
      <c r="E1459" s="26"/>
    </row>
    <row r="1460" spans="1:5" s="16" customFormat="1" ht="12.95" customHeight="1">
      <c r="A1460" s="26" t="s">
        <v>5894</v>
      </c>
      <c r="B1460" s="26"/>
      <c r="C1460" s="26" t="s">
        <v>5895</v>
      </c>
      <c r="D1460" s="26"/>
      <c r="E1460" s="26"/>
    </row>
    <row r="1461" spans="1:5" s="16" customFormat="1" ht="12.95" customHeight="1">
      <c r="A1461" s="26" t="s">
        <v>5896</v>
      </c>
      <c r="B1461" s="26"/>
      <c r="C1461" s="26" t="s">
        <v>5897</v>
      </c>
      <c r="D1461" s="26"/>
      <c r="E1461" s="26"/>
    </row>
    <row r="1462" spans="1:5" s="16" customFormat="1" ht="12.95" customHeight="1">
      <c r="A1462" s="26" t="s">
        <v>5898</v>
      </c>
      <c r="B1462" s="26"/>
      <c r="C1462" s="26" t="s">
        <v>5899</v>
      </c>
      <c r="D1462" s="26"/>
      <c r="E1462" s="26"/>
    </row>
    <row r="1463" spans="1:5" s="16" customFormat="1" ht="12.95" customHeight="1">
      <c r="A1463" s="26" t="s">
        <v>5900</v>
      </c>
      <c r="B1463" s="26"/>
      <c r="C1463" s="26" t="s">
        <v>5901</v>
      </c>
      <c r="D1463" s="26"/>
      <c r="E1463" s="26"/>
    </row>
    <row r="1464" spans="1:5" s="16" customFormat="1" ht="12.95" customHeight="1">
      <c r="A1464" s="26" t="s">
        <v>5902</v>
      </c>
      <c r="B1464" s="26"/>
      <c r="C1464" s="26" t="s">
        <v>5903</v>
      </c>
      <c r="D1464" s="26"/>
      <c r="E1464" s="26"/>
    </row>
    <row r="1465" spans="1:5" s="16" customFormat="1" ht="12.95" customHeight="1">
      <c r="A1465" s="26" t="s">
        <v>5904</v>
      </c>
      <c r="B1465" s="26"/>
      <c r="C1465" s="26" t="s">
        <v>5905</v>
      </c>
      <c r="D1465" s="26"/>
      <c r="E1465" s="26"/>
    </row>
    <row r="1466" spans="1:5" s="16" customFormat="1" ht="12.95" customHeight="1">
      <c r="A1466" s="26" t="s">
        <v>5906</v>
      </c>
      <c r="B1466" s="26"/>
      <c r="C1466" s="26" t="s">
        <v>5907</v>
      </c>
      <c r="D1466" s="26"/>
      <c r="E1466" s="26"/>
    </row>
    <row r="1467" spans="1:5" s="16" customFormat="1" ht="12.95" customHeight="1">
      <c r="A1467" s="26" t="s">
        <v>5908</v>
      </c>
      <c r="B1467" s="26"/>
      <c r="C1467" s="26" t="s">
        <v>5909</v>
      </c>
      <c r="D1467" s="26"/>
      <c r="E1467" s="26"/>
    </row>
    <row r="1468" spans="1:5" s="16" customFormat="1" ht="12.95" customHeight="1">
      <c r="A1468" s="26" t="s">
        <v>5910</v>
      </c>
      <c r="B1468" s="26"/>
      <c r="C1468" s="26" t="s">
        <v>5911</v>
      </c>
      <c r="D1468" s="26"/>
      <c r="E1468" s="26"/>
    </row>
    <row r="1469" spans="1:5" s="16" customFormat="1" ht="12.95" customHeight="1">
      <c r="A1469" s="26" t="s">
        <v>5912</v>
      </c>
      <c r="B1469" s="26"/>
      <c r="C1469" s="26" t="s">
        <v>5913</v>
      </c>
      <c r="D1469" s="26"/>
      <c r="E1469" s="26"/>
    </row>
    <row r="1470" spans="1:5" s="16" customFormat="1" ht="26.1" customHeight="1">
      <c r="A1470" s="26" t="s">
        <v>5914</v>
      </c>
      <c r="B1470" s="26"/>
      <c r="C1470" s="26" t="s">
        <v>5915</v>
      </c>
      <c r="D1470" s="26"/>
      <c r="E1470" s="26"/>
    </row>
    <row r="1471" spans="1:5" s="16" customFormat="1" ht="12.95" customHeight="1">
      <c r="A1471" s="26" t="s">
        <v>5916</v>
      </c>
      <c r="B1471" s="26"/>
      <c r="C1471" s="26" t="s">
        <v>5917</v>
      </c>
      <c r="D1471" s="26"/>
      <c r="E1471" s="26"/>
    </row>
    <row r="1472" spans="1:5" s="16" customFormat="1" ht="12.95" customHeight="1">
      <c r="A1472" s="26" t="s">
        <v>5918</v>
      </c>
      <c r="B1472" s="26"/>
      <c r="C1472" s="26" t="s">
        <v>5919</v>
      </c>
      <c r="D1472" s="26"/>
      <c r="E1472" s="26"/>
    </row>
    <row r="1473" spans="1:5" s="16" customFormat="1" ht="12.95" customHeight="1">
      <c r="A1473" s="26" t="s">
        <v>5920</v>
      </c>
      <c r="B1473" s="26"/>
      <c r="C1473" s="26" t="s">
        <v>5921</v>
      </c>
      <c r="D1473" s="26"/>
      <c r="E1473" s="26"/>
    </row>
    <row r="1474" spans="1:5" s="16" customFormat="1" ht="12.95" customHeight="1">
      <c r="A1474" s="26" t="s">
        <v>5922</v>
      </c>
      <c r="B1474" s="26"/>
      <c r="C1474" s="26" t="s">
        <v>5923</v>
      </c>
      <c r="D1474" s="26"/>
      <c r="E1474" s="26"/>
    </row>
    <row r="1475" spans="1:5" s="16" customFormat="1" ht="12.95" customHeight="1">
      <c r="A1475" s="26" t="s">
        <v>5924</v>
      </c>
      <c r="B1475" s="26"/>
      <c r="C1475" s="26" t="s">
        <v>5925</v>
      </c>
      <c r="D1475" s="26"/>
      <c r="E1475" s="26"/>
    </row>
    <row r="1476" spans="1:5" s="16" customFormat="1" ht="12.95" customHeight="1">
      <c r="A1476" s="26" t="s">
        <v>5926</v>
      </c>
      <c r="B1476" s="26"/>
      <c r="C1476" s="26" t="s">
        <v>5927</v>
      </c>
      <c r="D1476" s="26"/>
      <c r="E1476" s="26"/>
    </row>
    <row r="1477" spans="1:5" s="16" customFormat="1" ht="12.95" customHeight="1">
      <c r="A1477" s="26" t="s">
        <v>5928</v>
      </c>
      <c r="B1477" s="26"/>
      <c r="C1477" s="26" t="s">
        <v>5929</v>
      </c>
      <c r="D1477" s="26"/>
      <c r="E1477" s="26"/>
    </row>
    <row r="1478" spans="1:5" s="16" customFormat="1" ht="12.95" customHeight="1">
      <c r="A1478" s="26" t="s">
        <v>5930</v>
      </c>
      <c r="B1478" s="26"/>
      <c r="C1478" s="26" t="s">
        <v>5931</v>
      </c>
      <c r="D1478" s="26"/>
      <c r="E1478" s="26"/>
    </row>
    <row r="1479" spans="1:5" s="16" customFormat="1" ht="12.95" customHeight="1">
      <c r="A1479" s="26" t="s">
        <v>5932</v>
      </c>
      <c r="B1479" s="26"/>
      <c r="C1479" s="26" t="s">
        <v>5933</v>
      </c>
      <c r="D1479" s="26"/>
      <c r="E1479" s="26"/>
    </row>
    <row r="1480" spans="1:5" s="16" customFormat="1" ht="12.95" customHeight="1">
      <c r="A1480" s="26" t="s">
        <v>5934</v>
      </c>
      <c r="B1480" s="26"/>
      <c r="C1480" s="26" t="s">
        <v>5935</v>
      </c>
      <c r="D1480" s="26"/>
      <c r="E1480" s="26"/>
    </row>
    <row r="1481" spans="1:5" s="16" customFormat="1" ht="12.95" customHeight="1">
      <c r="A1481" s="26" t="s">
        <v>5936</v>
      </c>
      <c r="B1481" s="26"/>
      <c r="C1481" s="26" t="s">
        <v>5937</v>
      </c>
      <c r="D1481" s="26"/>
      <c r="E1481" s="26"/>
    </row>
    <row r="1482" spans="1:5" s="16" customFormat="1" ht="12.95" customHeight="1">
      <c r="A1482" s="26" t="s">
        <v>5938</v>
      </c>
      <c r="B1482" s="26"/>
      <c r="C1482" s="26" t="s">
        <v>5939</v>
      </c>
      <c r="D1482" s="26"/>
      <c r="E1482" s="26"/>
    </row>
    <row r="1483" spans="1:5" s="16" customFormat="1" ht="12.95" customHeight="1">
      <c r="A1483" s="26" t="s">
        <v>5940</v>
      </c>
      <c r="B1483" s="26"/>
      <c r="C1483" s="26" t="s">
        <v>5941</v>
      </c>
      <c r="D1483" s="26"/>
      <c r="E1483" s="26"/>
    </row>
    <row r="1484" spans="1:5" s="16" customFormat="1" ht="12.95" customHeight="1">
      <c r="A1484" s="26" t="s">
        <v>5942</v>
      </c>
      <c r="B1484" s="26"/>
      <c r="C1484" s="26" t="s">
        <v>5943</v>
      </c>
      <c r="D1484" s="26"/>
      <c r="E1484" s="26"/>
    </row>
    <row r="1485" spans="1:5" s="16" customFormat="1" ht="12.95" customHeight="1">
      <c r="A1485" s="26" t="s">
        <v>5944</v>
      </c>
      <c r="B1485" s="26"/>
      <c r="C1485" s="26" t="s">
        <v>5945</v>
      </c>
      <c r="D1485" s="26"/>
      <c r="E1485" s="26"/>
    </row>
    <row r="1486" spans="1:5" s="16" customFormat="1" ht="12.95" customHeight="1">
      <c r="A1486" s="26" t="s">
        <v>5946</v>
      </c>
      <c r="B1486" s="26"/>
      <c r="C1486" s="26" t="s">
        <v>5947</v>
      </c>
      <c r="D1486" s="26"/>
      <c r="E1486" s="26"/>
    </row>
    <row r="1487" spans="1:5" s="16" customFormat="1" ht="12.95" customHeight="1">
      <c r="A1487" s="26" t="s">
        <v>5948</v>
      </c>
      <c r="B1487" s="26"/>
      <c r="C1487" s="26" t="s">
        <v>5949</v>
      </c>
      <c r="D1487" s="26"/>
      <c r="E1487" s="26"/>
    </row>
    <row r="1488" spans="1:5" s="16" customFormat="1" ht="12.95" customHeight="1">
      <c r="A1488" s="26" t="s">
        <v>5950</v>
      </c>
      <c r="B1488" s="26"/>
      <c r="C1488" s="26" t="s">
        <v>5951</v>
      </c>
      <c r="D1488" s="26"/>
      <c r="E1488" s="26"/>
    </row>
    <row r="1489" spans="1:5" s="16" customFormat="1" ht="12.95" customHeight="1">
      <c r="A1489" s="26" t="s">
        <v>5952</v>
      </c>
      <c r="B1489" s="26"/>
      <c r="C1489" s="26" t="s">
        <v>5953</v>
      </c>
      <c r="D1489" s="26"/>
      <c r="E1489" s="26"/>
    </row>
    <row r="1490" spans="1:5" s="16" customFormat="1" ht="12.95" customHeight="1">
      <c r="A1490" s="26" t="s">
        <v>5954</v>
      </c>
      <c r="B1490" s="26"/>
      <c r="C1490" s="26" t="s">
        <v>5955</v>
      </c>
      <c r="D1490" s="26"/>
      <c r="E1490" s="26"/>
    </row>
    <row r="1491" spans="1:5" s="16" customFormat="1" ht="12.95" customHeight="1">
      <c r="A1491" s="26" t="s">
        <v>5956</v>
      </c>
      <c r="B1491" s="26"/>
      <c r="C1491" s="26" t="s">
        <v>5957</v>
      </c>
      <c r="D1491" s="26"/>
      <c r="E1491" s="26"/>
    </row>
    <row r="1492" spans="1:5" s="16" customFormat="1" ht="12.95" customHeight="1">
      <c r="A1492" s="26" t="s">
        <v>5958</v>
      </c>
      <c r="B1492" s="26"/>
      <c r="C1492" s="26" t="s">
        <v>5959</v>
      </c>
      <c r="D1492" s="26"/>
      <c r="E1492" s="26"/>
    </row>
    <row r="1493" spans="1:5" s="16" customFormat="1" ht="26.1" customHeight="1">
      <c r="A1493" s="26" t="s">
        <v>5960</v>
      </c>
      <c r="B1493" s="26"/>
      <c r="C1493" s="26" t="s">
        <v>5961</v>
      </c>
      <c r="D1493" s="26"/>
      <c r="E1493" s="26"/>
    </row>
    <row r="1494" spans="1:5" s="16" customFormat="1" ht="12.95" customHeight="1">
      <c r="A1494" s="26" t="s">
        <v>5962</v>
      </c>
      <c r="B1494" s="26"/>
      <c r="C1494" s="26" t="s">
        <v>5963</v>
      </c>
      <c r="D1494" s="26"/>
      <c r="E1494" s="26"/>
    </row>
    <row r="1495" spans="1:5" s="16" customFormat="1" ht="12.95" customHeight="1">
      <c r="A1495" s="26" t="s">
        <v>5964</v>
      </c>
      <c r="B1495" s="26"/>
      <c r="C1495" s="26" t="s">
        <v>5965</v>
      </c>
      <c r="D1495" s="26"/>
      <c r="E1495" s="26"/>
    </row>
    <row r="1496" spans="1:5" s="16" customFormat="1" ht="12.95" customHeight="1">
      <c r="A1496" s="26" t="s">
        <v>5966</v>
      </c>
      <c r="B1496" s="26"/>
      <c r="C1496" s="26" t="s">
        <v>5967</v>
      </c>
      <c r="D1496" s="26"/>
      <c r="E1496" s="26"/>
    </row>
    <row r="1497" spans="1:5" s="16" customFormat="1" ht="12.95" customHeight="1">
      <c r="A1497" s="26" t="s">
        <v>5968</v>
      </c>
      <c r="B1497" s="26"/>
      <c r="C1497" s="26" t="s">
        <v>5969</v>
      </c>
      <c r="D1497" s="26"/>
      <c r="E1497" s="26"/>
    </row>
    <row r="1498" spans="1:5" s="16" customFormat="1" ht="12.95" customHeight="1">
      <c r="A1498" s="26" t="s">
        <v>5970</v>
      </c>
      <c r="B1498" s="26"/>
      <c r="C1498" s="26" t="s">
        <v>5971</v>
      </c>
      <c r="D1498" s="26"/>
      <c r="E1498" s="26"/>
    </row>
    <row r="1499" spans="1:5" s="16" customFormat="1" ht="12.95" customHeight="1">
      <c r="A1499" s="26" t="s">
        <v>5972</v>
      </c>
      <c r="B1499" s="26"/>
      <c r="C1499" s="26" t="s">
        <v>5973</v>
      </c>
      <c r="D1499" s="26"/>
      <c r="E1499" s="26"/>
    </row>
  </sheetData>
  <mergeCells count="1601">
    <mergeCell ref="A1491:B1491"/>
    <mergeCell ref="C1491:E1491"/>
    <mergeCell ref="A1492:B1492"/>
    <mergeCell ref="C1492:E1492"/>
    <mergeCell ref="A1493:B1493"/>
    <mergeCell ref="C1493:E1493"/>
    <mergeCell ref="A1494:B1494"/>
    <mergeCell ref="C1494:E1494"/>
    <mergeCell ref="A1495:B1495"/>
    <mergeCell ref="C1495:E1495"/>
    <mergeCell ref="A1496:B1496"/>
    <mergeCell ref="C1496:E1496"/>
    <mergeCell ref="A1497:B1497"/>
    <mergeCell ref="C1497:E1497"/>
    <mergeCell ref="A1498:B1498"/>
    <mergeCell ref="C1498:E1498"/>
    <mergeCell ref="A1499:B1499"/>
    <mergeCell ref="C1499:E1499"/>
    <mergeCell ref="A1482:B1482"/>
    <mergeCell ref="C1482:E1482"/>
    <mergeCell ref="A1483:B1483"/>
    <mergeCell ref="C1483:E1483"/>
    <mergeCell ref="A1484:B1484"/>
    <mergeCell ref="C1484:E1484"/>
    <mergeCell ref="A1485:B1485"/>
    <mergeCell ref="C1485:E1485"/>
    <mergeCell ref="A1486:B1486"/>
    <mergeCell ref="C1486:E1486"/>
    <mergeCell ref="A1487:B1487"/>
    <mergeCell ref="C1487:E1487"/>
    <mergeCell ref="A1488:B1488"/>
    <mergeCell ref="C1488:E1488"/>
    <mergeCell ref="A1489:B1489"/>
    <mergeCell ref="C1489:E1489"/>
    <mergeCell ref="A1490:B1490"/>
    <mergeCell ref="C1490:E1490"/>
    <mergeCell ref="A1473:B1473"/>
    <mergeCell ref="C1473:E1473"/>
    <mergeCell ref="A1474:B1474"/>
    <mergeCell ref="C1474:E1474"/>
    <mergeCell ref="A1475:B1475"/>
    <mergeCell ref="C1475:E1475"/>
    <mergeCell ref="A1476:B1476"/>
    <mergeCell ref="C1476:E1476"/>
    <mergeCell ref="A1477:B1477"/>
    <mergeCell ref="C1477:E1477"/>
    <mergeCell ref="A1478:B1478"/>
    <mergeCell ref="C1478:E1478"/>
    <mergeCell ref="A1479:B1479"/>
    <mergeCell ref="C1479:E1479"/>
    <mergeCell ref="A1480:B1480"/>
    <mergeCell ref="C1480:E1480"/>
    <mergeCell ref="A1481:B1481"/>
    <mergeCell ref="C1481:E1481"/>
    <mergeCell ref="A1464:B1464"/>
    <mergeCell ref="C1464:E1464"/>
    <mergeCell ref="A1465:B1465"/>
    <mergeCell ref="C1465:E1465"/>
    <mergeCell ref="A1466:B1466"/>
    <mergeCell ref="C1466:E1466"/>
    <mergeCell ref="A1467:B1467"/>
    <mergeCell ref="C1467:E1467"/>
    <mergeCell ref="A1468:B1468"/>
    <mergeCell ref="C1468:E1468"/>
    <mergeCell ref="A1469:B1469"/>
    <mergeCell ref="C1469:E1469"/>
    <mergeCell ref="A1470:B1470"/>
    <mergeCell ref="C1470:E1470"/>
    <mergeCell ref="A1471:B1471"/>
    <mergeCell ref="C1471:E1471"/>
    <mergeCell ref="A1472:B1472"/>
    <mergeCell ref="C1472:E1472"/>
    <mergeCell ref="A1455:B1455"/>
    <mergeCell ref="C1455:E1455"/>
    <mergeCell ref="A1456:B1456"/>
    <mergeCell ref="C1456:E1456"/>
    <mergeCell ref="A1457:B1457"/>
    <mergeCell ref="C1457:E1457"/>
    <mergeCell ref="A1458:B1458"/>
    <mergeCell ref="C1458:E1458"/>
    <mergeCell ref="A1459:B1459"/>
    <mergeCell ref="C1459:E1459"/>
    <mergeCell ref="A1460:B1460"/>
    <mergeCell ref="C1460:E1460"/>
    <mergeCell ref="A1461:B1461"/>
    <mergeCell ref="C1461:E1461"/>
    <mergeCell ref="A1462:B1462"/>
    <mergeCell ref="C1462:E1462"/>
    <mergeCell ref="A1463:B1463"/>
    <mergeCell ref="C1463:E1463"/>
    <mergeCell ref="A1446:B1446"/>
    <mergeCell ref="C1446:E1446"/>
    <mergeCell ref="A1447:B1447"/>
    <mergeCell ref="C1447:E1447"/>
    <mergeCell ref="A1448:B1448"/>
    <mergeCell ref="C1448:E1448"/>
    <mergeCell ref="A1449:B1449"/>
    <mergeCell ref="C1449:E1449"/>
    <mergeCell ref="A1450:B1450"/>
    <mergeCell ref="C1450:E1450"/>
    <mergeCell ref="A1451:B1451"/>
    <mergeCell ref="C1451:E1451"/>
    <mergeCell ref="A1452:B1452"/>
    <mergeCell ref="C1452:E1452"/>
    <mergeCell ref="A1453:B1453"/>
    <mergeCell ref="C1453:E1453"/>
    <mergeCell ref="A1454:B1454"/>
    <mergeCell ref="C1454:E1454"/>
    <mergeCell ref="A1437:B1437"/>
    <mergeCell ref="C1437:E1437"/>
    <mergeCell ref="A1438:B1438"/>
    <mergeCell ref="C1438:E1438"/>
    <mergeCell ref="A1439:B1439"/>
    <mergeCell ref="C1439:E1439"/>
    <mergeCell ref="A1440:B1440"/>
    <mergeCell ref="C1440:E1440"/>
    <mergeCell ref="A1441:B1441"/>
    <mergeCell ref="C1441:E1441"/>
    <mergeCell ref="A1442:B1442"/>
    <mergeCell ref="C1442:E1442"/>
    <mergeCell ref="A1443:B1443"/>
    <mergeCell ref="C1443:E1443"/>
    <mergeCell ref="A1444:B1444"/>
    <mergeCell ref="C1444:E1444"/>
    <mergeCell ref="A1445:B1445"/>
    <mergeCell ref="C1445:E1445"/>
    <mergeCell ref="A1428:B1428"/>
    <mergeCell ref="C1428:E1428"/>
    <mergeCell ref="A1429:B1429"/>
    <mergeCell ref="C1429:E1429"/>
    <mergeCell ref="A1430:B1430"/>
    <mergeCell ref="C1430:E1430"/>
    <mergeCell ref="A1431:B1431"/>
    <mergeCell ref="C1431:E1431"/>
    <mergeCell ref="A1432:B1432"/>
    <mergeCell ref="C1432:E1432"/>
    <mergeCell ref="A1433:B1433"/>
    <mergeCell ref="C1433:E1433"/>
    <mergeCell ref="A1434:B1434"/>
    <mergeCell ref="C1434:E1434"/>
    <mergeCell ref="A1435:B1435"/>
    <mergeCell ref="C1435:E1435"/>
    <mergeCell ref="A1436:B1436"/>
    <mergeCell ref="C1436:E1436"/>
    <mergeCell ref="A1419:B1419"/>
    <mergeCell ref="C1419:E1419"/>
    <mergeCell ref="A1420:B1420"/>
    <mergeCell ref="C1420:E1420"/>
    <mergeCell ref="A1421:B1421"/>
    <mergeCell ref="C1421:E1421"/>
    <mergeCell ref="A1422:B1422"/>
    <mergeCell ref="C1422:E1422"/>
    <mergeCell ref="A1423:B1423"/>
    <mergeCell ref="C1423:E1423"/>
    <mergeCell ref="A1424:B1424"/>
    <mergeCell ref="C1424:E1424"/>
    <mergeCell ref="A1425:B1425"/>
    <mergeCell ref="C1425:E1425"/>
    <mergeCell ref="A1426:B1426"/>
    <mergeCell ref="C1426:E1426"/>
    <mergeCell ref="A1427:B1427"/>
    <mergeCell ref="C1427:E1427"/>
    <mergeCell ref="A1410:B1410"/>
    <mergeCell ref="C1410:E1410"/>
    <mergeCell ref="A1411:B1411"/>
    <mergeCell ref="C1411:E1411"/>
    <mergeCell ref="A1412:B1412"/>
    <mergeCell ref="C1412:E1412"/>
    <mergeCell ref="A1413:B1413"/>
    <mergeCell ref="C1413:E1413"/>
    <mergeCell ref="A1414:B1414"/>
    <mergeCell ref="C1414:E1414"/>
    <mergeCell ref="A1415:B1415"/>
    <mergeCell ref="C1415:E1415"/>
    <mergeCell ref="A1416:B1416"/>
    <mergeCell ref="C1416:E1416"/>
    <mergeCell ref="A1417:B1417"/>
    <mergeCell ref="C1417:E1417"/>
    <mergeCell ref="A1418:B1418"/>
    <mergeCell ref="C1418:E1418"/>
    <mergeCell ref="A1401:B1401"/>
    <mergeCell ref="C1401:E1401"/>
    <mergeCell ref="A1402:B1402"/>
    <mergeCell ref="C1402:E1402"/>
    <mergeCell ref="A1403:B1403"/>
    <mergeCell ref="C1403:E1403"/>
    <mergeCell ref="A1404:B1404"/>
    <mergeCell ref="C1404:E1404"/>
    <mergeCell ref="A1405:B1405"/>
    <mergeCell ref="C1405:E1405"/>
    <mergeCell ref="A1406:B1406"/>
    <mergeCell ref="C1406:E1406"/>
    <mergeCell ref="A1407:B1407"/>
    <mergeCell ref="C1407:E1407"/>
    <mergeCell ref="A1408:B1408"/>
    <mergeCell ref="C1408:E1408"/>
    <mergeCell ref="A1409:B1409"/>
    <mergeCell ref="C1409:E1409"/>
    <mergeCell ref="A1392:B1392"/>
    <mergeCell ref="C1392:E1392"/>
    <mergeCell ref="A1393:B1393"/>
    <mergeCell ref="C1393:E1393"/>
    <mergeCell ref="A1394:B1394"/>
    <mergeCell ref="C1394:E1394"/>
    <mergeCell ref="A1395:B1395"/>
    <mergeCell ref="C1395:E1395"/>
    <mergeCell ref="A1396:B1396"/>
    <mergeCell ref="C1396:E1396"/>
    <mergeCell ref="A1397:B1397"/>
    <mergeCell ref="C1397:E1397"/>
    <mergeCell ref="A1398:B1398"/>
    <mergeCell ref="C1398:E1398"/>
    <mergeCell ref="A1399:B1399"/>
    <mergeCell ref="C1399:E1399"/>
    <mergeCell ref="A1400:B1400"/>
    <mergeCell ref="C1400:E1400"/>
    <mergeCell ref="A1383:B1383"/>
    <mergeCell ref="C1383:E1383"/>
    <mergeCell ref="A1384:B1384"/>
    <mergeCell ref="C1384:E1384"/>
    <mergeCell ref="A1385:B1385"/>
    <mergeCell ref="C1385:E1385"/>
    <mergeCell ref="A1386:B1386"/>
    <mergeCell ref="C1386:E1386"/>
    <mergeCell ref="A1387:B1387"/>
    <mergeCell ref="C1387:E1387"/>
    <mergeCell ref="A1388:B1388"/>
    <mergeCell ref="C1388:E1388"/>
    <mergeCell ref="A1389:B1389"/>
    <mergeCell ref="C1389:E1389"/>
    <mergeCell ref="A1390:B1390"/>
    <mergeCell ref="C1390:E1390"/>
    <mergeCell ref="A1391:B1391"/>
    <mergeCell ref="C1391:E1391"/>
    <mergeCell ref="A1374:B1374"/>
    <mergeCell ref="C1374:E1374"/>
    <mergeCell ref="A1375:B1375"/>
    <mergeCell ref="C1375:E1375"/>
    <mergeCell ref="A1376:B1376"/>
    <mergeCell ref="C1376:E1376"/>
    <mergeCell ref="A1377:B1377"/>
    <mergeCell ref="C1377:E1377"/>
    <mergeCell ref="A1378:B1378"/>
    <mergeCell ref="C1378:E1378"/>
    <mergeCell ref="A1379:B1379"/>
    <mergeCell ref="C1379:E1379"/>
    <mergeCell ref="A1380:B1380"/>
    <mergeCell ref="C1380:E1380"/>
    <mergeCell ref="A1381:B1381"/>
    <mergeCell ref="C1381:E1381"/>
    <mergeCell ref="A1382:B1382"/>
    <mergeCell ref="C1382:E1382"/>
    <mergeCell ref="A1365:B1365"/>
    <mergeCell ref="C1365:E1365"/>
    <mergeCell ref="A1366:B1366"/>
    <mergeCell ref="C1366:E1366"/>
    <mergeCell ref="A1367:B1367"/>
    <mergeCell ref="C1367:E1367"/>
    <mergeCell ref="A1368:B1368"/>
    <mergeCell ref="C1368:E1368"/>
    <mergeCell ref="A1369:B1369"/>
    <mergeCell ref="C1369:E1369"/>
    <mergeCell ref="A1370:B1370"/>
    <mergeCell ref="C1370:E1370"/>
    <mergeCell ref="A1371:B1371"/>
    <mergeCell ref="C1371:E1371"/>
    <mergeCell ref="A1372:B1372"/>
    <mergeCell ref="C1372:E1372"/>
    <mergeCell ref="A1373:B1373"/>
    <mergeCell ref="C1373:E1373"/>
    <mergeCell ref="A1356:B1356"/>
    <mergeCell ref="C1356:E1356"/>
    <mergeCell ref="A1357:B1357"/>
    <mergeCell ref="C1357:E1357"/>
    <mergeCell ref="A1358:B1358"/>
    <mergeCell ref="C1358:E1358"/>
    <mergeCell ref="A1359:B1359"/>
    <mergeCell ref="C1359:E1359"/>
    <mergeCell ref="A1360:B1360"/>
    <mergeCell ref="C1360:E1360"/>
    <mergeCell ref="A1361:B1361"/>
    <mergeCell ref="C1361:E1361"/>
    <mergeCell ref="A1362:B1362"/>
    <mergeCell ref="C1362:E1362"/>
    <mergeCell ref="A1363:B1363"/>
    <mergeCell ref="C1363:E1363"/>
    <mergeCell ref="A1364:B1364"/>
    <mergeCell ref="C1364:E1364"/>
    <mergeCell ref="A1347:B1347"/>
    <mergeCell ref="C1347:E1347"/>
    <mergeCell ref="A1348:B1348"/>
    <mergeCell ref="C1348:E1348"/>
    <mergeCell ref="A1349:B1349"/>
    <mergeCell ref="C1349:E1349"/>
    <mergeCell ref="A1350:B1350"/>
    <mergeCell ref="C1350:E1350"/>
    <mergeCell ref="A1351:B1351"/>
    <mergeCell ref="C1351:E1351"/>
    <mergeCell ref="A1352:B1352"/>
    <mergeCell ref="C1352:E1352"/>
    <mergeCell ref="A1353:B1353"/>
    <mergeCell ref="C1353:E1353"/>
    <mergeCell ref="A1354:B1354"/>
    <mergeCell ref="C1354:E1354"/>
    <mergeCell ref="A1355:B1355"/>
    <mergeCell ref="C1355:E1355"/>
    <mergeCell ref="A1338:B1338"/>
    <mergeCell ref="C1338:E1338"/>
    <mergeCell ref="A1339:B1339"/>
    <mergeCell ref="C1339:E1339"/>
    <mergeCell ref="A1340:B1340"/>
    <mergeCell ref="C1340:E1340"/>
    <mergeCell ref="A1341:B1341"/>
    <mergeCell ref="C1341:E1341"/>
    <mergeCell ref="A1342:B1342"/>
    <mergeCell ref="C1342:E1342"/>
    <mergeCell ref="A1343:B1343"/>
    <mergeCell ref="C1343:E1343"/>
    <mergeCell ref="A1344:B1344"/>
    <mergeCell ref="C1344:E1344"/>
    <mergeCell ref="A1345:B1345"/>
    <mergeCell ref="C1345:E1345"/>
    <mergeCell ref="A1346:B1346"/>
    <mergeCell ref="C1346:E1346"/>
    <mergeCell ref="A1329:B1329"/>
    <mergeCell ref="C1329:E1329"/>
    <mergeCell ref="A1330:B1330"/>
    <mergeCell ref="C1330:E1330"/>
    <mergeCell ref="A1331:B1331"/>
    <mergeCell ref="C1331:E1331"/>
    <mergeCell ref="A1332:B1332"/>
    <mergeCell ref="C1332:E1332"/>
    <mergeCell ref="A1333:B1333"/>
    <mergeCell ref="C1333:E1333"/>
    <mergeCell ref="A1334:B1334"/>
    <mergeCell ref="C1334:E1334"/>
    <mergeCell ref="A1335:B1335"/>
    <mergeCell ref="C1335:E1335"/>
    <mergeCell ref="A1336:B1336"/>
    <mergeCell ref="C1336:E1336"/>
    <mergeCell ref="A1337:B1337"/>
    <mergeCell ref="C1337:E1337"/>
    <mergeCell ref="A1320:B1320"/>
    <mergeCell ref="C1320:E1320"/>
    <mergeCell ref="A1321:B1321"/>
    <mergeCell ref="C1321:E1321"/>
    <mergeCell ref="A1322:B1322"/>
    <mergeCell ref="C1322:E1322"/>
    <mergeCell ref="A1323:B1323"/>
    <mergeCell ref="C1323:E1323"/>
    <mergeCell ref="A1324:B1324"/>
    <mergeCell ref="C1324:E1324"/>
    <mergeCell ref="A1325:B1325"/>
    <mergeCell ref="C1325:E1325"/>
    <mergeCell ref="A1326:B1326"/>
    <mergeCell ref="C1326:E1326"/>
    <mergeCell ref="A1327:B1327"/>
    <mergeCell ref="C1327:E1327"/>
    <mergeCell ref="A1328:B1328"/>
    <mergeCell ref="C1328:E1328"/>
    <mergeCell ref="A1311:B1311"/>
    <mergeCell ref="C1311:E1311"/>
    <mergeCell ref="A1312:B1312"/>
    <mergeCell ref="C1312:E1312"/>
    <mergeCell ref="A1313:B1313"/>
    <mergeCell ref="C1313:E1313"/>
    <mergeCell ref="A1314:B1314"/>
    <mergeCell ref="C1314:E1314"/>
    <mergeCell ref="A1315:B1315"/>
    <mergeCell ref="C1315:E1315"/>
    <mergeCell ref="A1316:B1316"/>
    <mergeCell ref="C1316:E1316"/>
    <mergeCell ref="A1317:B1317"/>
    <mergeCell ref="C1317:E1317"/>
    <mergeCell ref="A1318:B1318"/>
    <mergeCell ref="C1318:E1318"/>
    <mergeCell ref="A1319:B1319"/>
    <mergeCell ref="C1319:E1319"/>
    <mergeCell ref="A1302:B1302"/>
    <mergeCell ref="C1302:E1302"/>
    <mergeCell ref="A1303:B1303"/>
    <mergeCell ref="C1303:E1303"/>
    <mergeCell ref="A1304:B1304"/>
    <mergeCell ref="C1304:E1304"/>
    <mergeCell ref="A1305:B1305"/>
    <mergeCell ref="C1305:E1305"/>
    <mergeCell ref="A1306:B1306"/>
    <mergeCell ref="C1306:E1306"/>
    <mergeCell ref="A1307:B1307"/>
    <mergeCell ref="C1307:E1307"/>
    <mergeCell ref="A1308:B1308"/>
    <mergeCell ref="C1308:E1308"/>
    <mergeCell ref="A1309:B1309"/>
    <mergeCell ref="C1309:E1309"/>
    <mergeCell ref="A1310:B1310"/>
    <mergeCell ref="C1310:E1310"/>
    <mergeCell ref="A1293:B1293"/>
    <mergeCell ref="C1293:E1293"/>
    <mergeCell ref="A1294:B1294"/>
    <mergeCell ref="C1294:E1294"/>
    <mergeCell ref="A1295:B1295"/>
    <mergeCell ref="C1295:E1295"/>
    <mergeCell ref="A1296:B1296"/>
    <mergeCell ref="C1296:E1296"/>
    <mergeCell ref="A1297:B1297"/>
    <mergeCell ref="C1297:E1297"/>
    <mergeCell ref="A1298:B1298"/>
    <mergeCell ref="C1298:E1298"/>
    <mergeCell ref="A1299:B1299"/>
    <mergeCell ref="C1299:E1299"/>
    <mergeCell ref="A1300:B1300"/>
    <mergeCell ref="C1300:E1300"/>
    <mergeCell ref="A1301:B1301"/>
    <mergeCell ref="C1301:E1301"/>
    <mergeCell ref="A1284:B1284"/>
    <mergeCell ref="C1284:E1284"/>
    <mergeCell ref="A1285:B1285"/>
    <mergeCell ref="C1285:E1285"/>
    <mergeCell ref="A1286:B1286"/>
    <mergeCell ref="C1286:E1286"/>
    <mergeCell ref="A1287:B1287"/>
    <mergeCell ref="C1287:E1287"/>
    <mergeCell ref="A1288:B1288"/>
    <mergeCell ref="C1288:E1288"/>
    <mergeCell ref="A1289:B1289"/>
    <mergeCell ref="C1289:E1289"/>
    <mergeCell ref="A1290:B1290"/>
    <mergeCell ref="C1290:E1290"/>
    <mergeCell ref="A1291:B1291"/>
    <mergeCell ref="C1291:E1291"/>
    <mergeCell ref="A1292:B1292"/>
    <mergeCell ref="C1292:E1292"/>
    <mergeCell ref="A1275:B1275"/>
    <mergeCell ref="C1275:E1275"/>
    <mergeCell ref="A1276:B1276"/>
    <mergeCell ref="C1276:E1276"/>
    <mergeCell ref="A1277:B1277"/>
    <mergeCell ref="C1277:E1277"/>
    <mergeCell ref="A1278:B1278"/>
    <mergeCell ref="C1278:E1278"/>
    <mergeCell ref="A1279:B1279"/>
    <mergeCell ref="C1279:E1279"/>
    <mergeCell ref="A1280:B1280"/>
    <mergeCell ref="C1280:E1280"/>
    <mergeCell ref="A1281:B1281"/>
    <mergeCell ref="C1281:E1281"/>
    <mergeCell ref="A1282:B1282"/>
    <mergeCell ref="C1282:E1282"/>
    <mergeCell ref="A1283:B1283"/>
    <mergeCell ref="C1283:E1283"/>
    <mergeCell ref="A1266:B1266"/>
    <mergeCell ref="C1266:E1266"/>
    <mergeCell ref="A1267:B1267"/>
    <mergeCell ref="C1267:E1267"/>
    <mergeCell ref="A1268:B1268"/>
    <mergeCell ref="C1268:E1268"/>
    <mergeCell ref="A1269:B1269"/>
    <mergeCell ref="C1269:E1269"/>
    <mergeCell ref="A1270:B1270"/>
    <mergeCell ref="C1270:E1270"/>
    <mergeCell ref="A1271:B1271"/>
    <mergeCell ref="C1271:E1271"/>
    <mergeCell ref="A1272:B1272"/>
    <mergeCell ref="C1272:E1272"/>
    <mergeCell ref="A1273:B1273"/>
    <mergeCell ref="C1273:E1273"/>
    <mergeCell ref="A1274:B1274"/>
    <mergeCell ref="C1274:E1274"/>
    <mergeCell ref="A1257:B1257"/>
    <mergeCell ref="C1257:E1257"/>
    <mergeCell ref="A1258:B1258"/>
    <mergeCell ref="C1258:E1258"/>
    <mergeCell ref="A1259:B1259"/>
    <mergeCell ref="C1259:E1259"/>
    <mergeCell ref="A1260:B1260"/>
    <mergeCell ref="C1260:E1260"/>
    <mergeCell ref="A1261:B1261"/>
    <mergeCell ref="C1261:E1261"/>
    <mergeCell ref="A1262:B1262"/>
    <mergeCell ref="C1262:E1262"/>
    <mergeCell ref="A1263:B1263"/>
    <mergeCell ref="C1263:E1263"/>
    <mergeCell ref="A1264:B1264"/>
    <mergeCell ref="C1264:E1264"/>
    <mergeCell ref="A1265:B1265"/>
    <mergeCell ref="C1265:E1265"/>
    <mergeCell ref="A1248:B1248"/>
    <mergeCell ref="C1248:E1248"/>
    <mergeCell ref="A1249:B1249"/>
    <mergeCell ref="C1249:E1249"/>
    <mergeCell ref="A1250:B1250"/>
    <mergeCell ref="C1250:E1250"/>
    <mergeCell ref="A1251:B1251"/>
    <mergeCell ref="C1251:E1251"/>
    <mergeCell ref="A1252:B1252"/>
    <mergeCell ref="C1252:E1252"/>
    <mergeCell ref="A1253:B1253"/>
    <mergeCell ref="C1253:E1253"/>
    <mergeCell ref="A1254:B1254"/>
    <mergeCell ref="C1254:E1254"/>
    <mergeCell ref="A1255:B1255"/>
    <mergeCell ref="C1255:E1255"/>
    <mergeCell ref="A1256:B1256"/>
    <mergeCell ref="C1256:E1256"/>
    <mergeCell ref="A1239:B1239"/>
    <mergeCell ref="C1239:E1239"/>
    <mergeCell ref="A1240:B1240"/>
    <mergeCell ref="C1240:E1240"/>
    <mergeCell ref="A1241:B1241"/>
    <mergeCell ref="C1241:E1241"/>
    <mergeCell ref="A1242:B1242"/>
    <mergeCell ref="C1242:E1242"/>
    <mergeCell ref="A1243:B1243"/>
    <mergeCell ref="C1243:E1243"/>
    <mergeCell ref="A1244:B1244"/>
    <mergeCell ref="C1244:E1244"/>
    <mergeCell ref="A1245:B1245"/>
    <mergeCell ref="C1245:E1245"/>
    <mergeCell ref="A1246:B1246"/>
    <mergeCell ref="C1246:E1246"/>
    <mergeCell ref="A1247:B1247"/>
    <mergeCell ref="C1247:E1247"/>
    <mergeCell ref="A1230:B1230"/>
    <mergeCell ref="C1230:E1230"/>
    <mergeCell ref="A1231:B1231"/>
    <mergeCell ref="C1231:E1231"/>
    <mergeCell ref="A1232:B1232"/>
    <mergeCell ref="C1232:E1232"/>
    <mergeCell ref="A1233:B1233"/>
    <mergeCell ref="C1233:E1233"/>
    <mergeCell ref="A1234:B1234"/>
    <mergeCell ref="C1234:E1234"/>
    <mergeCell ref="A1235:B1235"/>
    <mergeCell ref="C1235:E1235"/>
    <mergeCell ref="A1236:B1236"/>
    <mergeCell ref="C1236:E1236"/>
    <mergeCell ref="A1237:B1237"/>
    <mergeCell ref="C1237:E1237"/>
    <mergeCell ref="A1238:B1238"/>
    <mergeCell ref="C1238:E1238"/>
    <mergeCell ref="A1221:B1221"/>
    <mergeCell ref="C1221:E1221"/>
    <mergeCell ref="A1222:B1222"/>
    <mergeCell ref="C1222:E1222"/>
    <mergeCell ref="A1223:B1223"/>
    <mergeCell ref="C1223:E1223"/>
    <mergeCell ref="A1224:B1224"/>
    <mergeCell ref="C1224:E1224"/>
    <mergeCell ref="A1225:B1225"/>
    <mergeCell ref="C1225:E1225"/>
    <mergeCell ref="A1226:B1226"/>
    <mergeCell ref="C1226:E1226"/>
    <mergeCell ref="A1227:B1227"/>
    <mergeCell ref="C1227:E1227"/>
    <mergeCell ref="A1228:B1228"/>
    <mergeCell ref="C1228:E1228"/>
    <mergeCell ref="A1229:B1229"/>
    <mergeCell ref="C1229:E1229"/>
    <mergeCell ref="A1212:B1212"/>
    <mergeCell ref="C1212:E1212"/>
    <mergeCell ref="A1213:B1213"/>
    <mergeCell ref="C1213:E1213"/>
    <mergeCell ref="A1214:B1214"/>
    <mergeCell ref="C1214:E1214"/>
    <mergeCell ref="A1215:B1215"/>
    <mergeCell ref="C1215:E1215"/>
    <mergeCell ref="A1216:B1216"/>
    <mergeCell ref="C1216:E1216"/>
    <mergeCell ref="A1217:B1217"/>
    <mergeCell ref="C1217:E1217"/>
    <mergeCell ref="A1218:B1218"/>
    <mergeCell ref="C1218:E1218"/>
    <mergeCell ref="A1219:B1219"/>
    <mergeCell ref="C1219:E1219"/>
    <mergeCell ref="A1220:B1220"/>
    <mergeCell ref="C1220:E1220"/>
    <mergeCell ref="A1203:B1203"/>
    <mergeCell ref="C1203:E1203"/>
    <mergeCell ref="A1204:B1204"/>
    <mergeCell ref="C1204:E1204"/>
    <mergeCell ref="A1205:B1205"/>
    <mergeCell ref="C1205:E1205"/>
    <mergeCell ref="A1206:B1206"/>
    <mergeCell ref="C1206:E1206"/>
    <mergeCell ref="A1207:B1207"/>
    <mergeCell ref="C1207:E1207"/>
    <mergeCell ref="A1208:B1208"/>
    <mergeCell ref="C1208:E1208"/>
    <mergeCell ref="A1209:B1209"/>
    <mergeCell ref="C1209:E1209"/>
    <mergeCell ref="A1210:B1210"/>
    <mergeCell ref="C1210:E1210"/>
    <mergeCell ref="A1211:B1211"/>
    <mergeCell ref="C1211:E1211"/>
    <mergeCell ref="A1194:B1194"/>
    <mergeCell ref="C1194:E1194"/>
    <mergeCell ref="A1195:B1195"/>
    <mergeCell ref="C1195:E1195"/>
    <mergeCell ref="A1196:B1196"/>
    <mergeCell ref="C1196:E1196"/>
    <mergeCell ref="A1197:B1197"/>
    <mergeCell ref="C1197:E1197"/>
    <mergeCell ref="A1198:B1198"/>
    <mergeCell ref="C1198:E1198"/>
    <mergeCell ref="A1199:B1199"/>
    <mergeCell ref="C1199:E1199"/>
    <mergeCell ref="A1200:B1200"/>
    <mergeCell ref="C1200:E1200"/>
    <mergeCell ref="A1201:B1201"/>
    <mergeCell ref="C1201:E1201"/>
    <mergeCell ref="A1202:B1202"/>
    <mergeCell ref="C1202:E1202"/>
    <mergeCell ref="A1185:B1185"/>
    <mergeCell ref="C1185:E1185"/>
    <mergeCell ref="A1186:B1186"/>
    <mergeCell ref="C1186:E1186"/>
    <mergeCell ref="A1187:B1187"/>
    <mergeCell ref="C1187:E1187"/>
    <mergeCell ref="A1188:B1188"/>
    <mergeCell ref="C1188:E1188"/>
    <mergeCell ref="A1189:B1189"/>
    <mergeCell ref="C1189:E1189"/>
    <mergeCell ref="A1190:B1190"/>
    <mergeCell ref="C1190:E1190"/>
    <mergeCell ref="A1191:B1191"/>
    <mergeCell ref="C1191:E1191"/>
    <mergeCell ref="A1192:B1192"/>
    <mergeCell ref="C1192:E1192"/>
    <mergeCell ref="A1193:B1193"/>
    <mergeCell ref="C1193:E1193"/>
    <mergeCell ref="A1176:B1176"/>
    <mergeCell ref="C1176:E1176"/>
    <mergeCell ref="A1177:B1177"/>
    <mergeCell ref="C1177:E1177"/>
    <mergeCell ref="A1178:B1178"/>
    <mergeCell ref="C1178:E1178"/>
    <mergeCell ref="A1179:B1179"/>
    <mergeCell ref="C1179:E1179"/>
    <mergeCell ref="A1180:B1180"/>
    <mergeCell ref="C1180:E1180"/>
    <mergeCell ref="A1181:B1181"/>
    <mergeCell ref="C1181:E1181"/>
    <mergeCell ref="A1182:B1182"/>
    <mergeCell ref="C1182:E1182"/>
    <mergeCell ref="A1183:B1183"/>
    <mergeCell ref="C1183:E1183"/>
    <mergeCell ref="A1184:B1184"/>
    <mergeCell ref="C1184:E1184"/>
    <mergeCell ref="A1167:B1167"/>
    <mergeCell ref="C1167:E1167"/>
    <mergeCell ref="A1168:B1168"/>
    <mergeCell ref="C1168:E1168"/>
    <mergeCell ref="A1169:B1169"/>
    <mergeCell ref="C1169:E1169"/>
    <mergeCell ref="A1170:B1170"/>
    <mergeCell ref="C1170:E1170"/>
    <mergeCell ref="A1171:B1171"/>
    <mergeCell ref="C1171:E1171"/>
    <mergeCell ref="A1172:B1172"/>
    <mergeCell ref="C1172:E1172"/>
    <mergeCell ref="A1173:B1173"/>
    <mergeCell ref="C1173:E1173"/>
    <mergeCell ref="A1174:B1174"/>
    <mergeCell ref="C1174:E1174"/>
    <mergeCell ref="A1175:B1175"/>
    <mergeCell ref="C1175:E1175"/>
    <mergeCell ref="A1158:B1158"/>
    <mergeCell ref="C1158:E1158"/>
    <mergeCell ref="A1159:B1159"/>
    <mergeCell ref="C1159:E1159"/>
    <mergeCell ref="A1160:B1160"/>
    <mergeCell ref="C1160:E1160"/>
    <mergeCell ref="A1161:B1161"/>
    <mergeCell ref="C1161:E1161"/>
    <mergeCell ref="A1162:B1162"/>
    <mergeCell ref="C1162:E1162"/>
    <mergeCell ref="A1163:B1163"/>
    <mergeCell ref="C1163:E1163"/>
    <mergeCell ref="A1164:B1164"/>
    <mergeCell ref="C1164:E1164"/>
    <mergeCell ref="A1165:B1165"/>
    <mergeCell ref="C1165:E1165"/>
    <mergeCell ref="A1166:B1166"/>
    <mergeCell ref="C1166:E1166"/>
    <mergeCell ref="A1149:B1149"/>
    <mergeCell ref="C1149:E1149"/>
    <mergeCell ref="A1150:B1150"/>
    <mergeCell ref="C1150:E1150"/>
    <mergeCell ref="A1151:B1151"/>
    <mergeCell ref="C1151:E1151"/>
    <mergeCell ref="A1152:B1152"/>
    <mergeCell ref="C1152:E1152"/>
    <mergeCell ref="A1153:B1153"/>
    <mergeCell ref="C1153:E1153"/>
    <mergeCell ref="A1154:B1154"/>
    <mergeCell ref="C1154:E1154"/>
    <mergeCell ref="A1155:B1155"/>
    <mergeCell ref="C1155:E1155"/>
    <mergeCell ref="A1156:B1156"/>
    <mergeCell ref="C1156:E1156"/>
    <mergeCell ref="A1157:B1157"/>
    <mergeCell ref="C1157:E1157"/>
    <mergeCell ref="A1140:B1140"/>
    <mergeCell ref="C1140:E1140"/>
    <mergeCell ref="A1141:B1141"/>
    <mergeCell ref="C1141:E1141"/>
    <mergeCell ref="A1142:B1142"/>
    <mergeCell ref="C1142:E1142"/>
    <mergeCell ref="A1143:B1143"/>
    <mergeCell ref="C1143:E1143"/>
    <mergeCell ref="A1144:B1144"/>
    <mergeCell ref="C1144:E1144"/>
    <mergeCell ref="A1145:B1145"/>
    <mergeCell ref="C1145:E1145"/>
    <mergeCell ref="A1146:B1146"/>
    <mergeCell ref="C1146:E1146"/>
    <mergeCell ref="A1147:B1147"/>
    <mergeCell ref="C1147:E1147"/>
    <mergeCell ref="A1148:B1148"/>
    <mergeCell ref="C1148:E1148"/>
    <mergeCell ref="A1131:B1131"/>
    <mergeCell ref="C1131:E1131"/>
    <mergeCell ref="A1132:B1132"/>
    <mergeCell ref="C1132:E1132"/>
    <mergeCell ref="A1133:B1133"/>
    <mergeCell ref="C1133:E1133"/>
    <mergeCell ref="A1134:B1134"/>
    <mergeCell ref="C1134:E1134"/>
    <mergeCell ref="A1135:B1135"/>
    <mergeCell ref="C1135:E1135"/>
    <mergeCell ref="A1136:B1136"/>
    <mergeCell ref="C1136:E1136"/>
    <mergeCell ref="A1137:B1137"/>
    <mergeCell ref="C1137:E1137"/>
    <mergeCell ref="A1138:B1138"/>
    <mergeCell ref="C1138:E1138"/>
    <mergeCell ref="A1139:B1139"/>
    <mergeCell ref="C1139:E1139"/>
    <mergeCell ref="A1122:B1122"/>
    <mergeCell ref="C1122:E1122"/>
    <mergeCell ref="A1123:B1123"/>
    <mergeCell ref="C1123:E1123"/>
    <mergeCell ref="A1124:B1124"/>
    <mergeCell ref="C1124:E1124"/>
    <mergeCell ref="A1125:B1125"/>
    <mergeCell ref="C1125:E1125"/>
    <mergeCell ref="A1126:B1126"/>
    <mergeCell ref="C1126:E1126"/>
    <mergeCell ref="A1127:B1127"/>
    <mergeCell ref="C1127:E1127"/>
    <mergeCell ref="A1128:B1128"/>
    <mergeCell ref="C1128:E1128"/>
    <mergeCell ref="A1129:B1129"/>
    <mergeCell ref="C1129:E1129"/>
    <mergeCell ref="A1130:B1130"/>
    <mergeCell ref="C1130:E1130"/>
    <mergeCell ref="A1113:B1113"/>
    <mergeCell ref="C1113:E1113"/>
    <mergeCell ref="A1114:B1114"/>
    <mergeCell ref="C1114:E1114"/>
    <mergeCell ref="A1115:B1115"/>
    <mergeCell ref="C1115:E1115"/>
    <mergeCell ref="A1116:B1116"/>
    <mergeCell ref="C1116:E1116"/>
    <mergeCell ref="A1117:B1117"/>
    <mergeCell ref="C1117:E1117"/>
    <mergeCell ref="A1118:B1118"/>
    <mergeCell ref="C1118:E1118"/>
    <mergeCell ref="A1119:B1119"/>
    <mergeCell ref="C1119:E1119"/>
    <mergeCell ref="A1120:B1120"/>
    <mergeCell ref="C1120:E1120"/>
    <mergeCell ref="A1121:B1121"/>
    <mergeCell ref="C1121:E1121"/>
    <mergeCell ref="A1104:B1104"/>
    <mergeCell ref="C1104:E1104"/>
    <mergeCell ref="A1105:B1105"/>
    <mergeCell ref="C1105:E1105"/>
    <mergeCell ref="A1106:B1106"/>
    <mergeCell ref="C1106:E1106"/>
    <mergeCell ref="A1107:B1107"/>
    <mergeCell ref="C1107:E1107"/>
    <mergeCell ref="A1108:B1108"/>
    <mergeCell ref="C1108:E1108"/>
    <mergeCell ref="A1109:B1109"/>
    <mergeCell ref="C1109:E1109"/>
    <mergeCell ref="A1110:B1110"/>
    <mergeCell ref="C1110:E1110"/>
    <mergeCell ref="A1111:B1111"/>
    <mergeCell ref="C1111:E1111"/>
    <mergeCell ref="A1112:B1112"/>
    <mergeCell ref="C1112:E1112"/>
    <mergeCell ref="A1095:B1095"/>
    <mergeCell ref="C1095:E1095"/>
    <mergeCell ref="A1096:B1096"/>
    <mergeCell ref="C1096:E1096"/>
    <mergeCell ref="A1097:B1097"/>
    <mergeCell ref="C1097:E1097"/>
    <mergeCell ref="A1098:B1098"/>
    <mergeCell ref="C1098:E1098"/>
    <mergeCell ref="A1099:B1099"/>
    <mergeCell ref="C1099:E1099"/>
    <mergeCell ref="A1100:B1100"/>
    <mergeCell ref="C1100:E1100"/>
    <mergeCell ref="A1101:B1101"/>
    <mergeCell ref="C1101:E1101"/>
    <mergeCell ref="A1102:B1102"/>
    <mergeCell ref="C1102:E1102"/>
    <mergeCell ref="A1103:B1103"/>
    <mergeCell ref="C1103:E1103"/>
    <mergeCell ref="A1086:B1086"/>
    <mergeCell ref="C1086:E1086"/>
    <mergeCell ref="A1087:B1087"/>
    <mergeCell ref="C1087:E1087"/>
    <mergeCell ref="A1088:B1088"/>
    <mergeCell ref="C1088:E1088"/>
    <mergeCell ref="A1089:B1089"/>
    <mergeCell ref="C1089:E1089"/>
    <mergeCell ref="A1090:B1090"/>
    <mergeCell ref="C1090:E1090"/>
    <mergeCell ref="A1091:B1091"/>
    <mergeCell ref="C1091:E1091"/>
    <mergeCell ref="A1092:B1092"/>
    <mergeCell ref="C1092:E1092"/>
    <mergeCell ref="A1093:B1093"/>
    <mergeCell ref="C1093:E1093"/>
    <mergeCell ref="A1094:B1094"/>
    <mergeCell ref="C1094:E1094"/>
    <mergeCell ref="A1077:B1077"/>
    <mergeCell ref="C1077:E1077"/>
    <mergeCell ref="A1078:B1078"/>
    <mergeCell ref="C1078:E1078"/>
    <mergeCell ref="A1079:B1079"/>
    <mergeCell ref="C1079:E1079"/>
    <mergeCell ref="A1080:B1080"/>
    <mergeCell ref="C1080:E1080"/>
    <mergeCell ref="A1081:B1081"/>
    <mergeCell ref="C1081:E1081"/>
    <mergeCell ref="A1082:B1082"/>
    <mergeCell ref="C1082:E1082"/>
    <mergeCell ref="A1083:B1083"/>
    <mergeCell ref="C1083:E1083"/>
    <mergeCell ref="A1084:B1084"/>
    <mergeCell ref="C1084:E1084"/>
    <mergeCell ref="A1085:B1085"/>
    <mergeCell ref="C1085:E1085"/>
    <mergeCell ref="A1068:B1068"/>
    <mergeCell ref="C1068:E1068"/>
    <mergeCell ref="A1069:B1069"/>
    <mergeCell ref="C1069:E1069"/>
    <mergeCell ref="A1070:B1070"/>
    <mergeCell ref="C1070:E1070"/>
    <mergeCell ref="A1071:B1071"/>
    <mergeCell ref="C1071:E1071"/>
    <mergeCell ref="A1072:B1072"/>
    <mergeCell ref="C1072:E1072"/>
    <mergeCell ref="A1073:B1073"/>
    <mergeCell ref="C1073:E1073"/>
    <mergeCell ref="A1074:B1074"/>
    <mergeCell ref="C1074:E1074"/>
    <mergeCell ref="A1075:B1075"/>
    <mergeCell ref="C1075:E1075"/>
    <mergeCell ref="A1076:B1076"/>
    <mergeCell ref="C1076:E1076"/>
    <mergeCell ref="A1059:B1059"/>
    <mergeCell ref="C1059:E1059"/>
    <mergeCell ref="A1060:B1060"/>
    <mergeCell ref="C1060:E1060"/>
    <mergeCell ref="A1061:B1061"/>
    <mergeCell ref="C1061:E1061"/>
    <mergeCell ref="A1062:B1062"/>
    <mergeCell ref="C1062:E1062"/>
    <mergeCell ref="A1063:B1063"/>
    <mergeCell ref="C1063:E1063"/>
    <mergeCell ref="A1064:B1064"/>
    <mergeCell ref="C1064:E1064"/>
    <mergeCell ref="A1065:B1065"/>
    <mergeCell ref="C1065:E1065"/>
    <mergeCell ref="A1066:B1066"/>
    <mergeCell ref="C1066:E1066"/>
    <mergeCell ref="A1067:B1067"/>
    <mergeCell ref="C1067:E1067"/>
    <mergeCell ref="A1050:B1050"/>
    <mergeCell ref="C1050:E1050"/>
    <mergeCell ref="A1051:B1051"/>
    <mergeCell ref="C1051:E1051"/>
    <mergeCell ref="A1052:B1052"/>
    <mergeCell ref="C1052:E1052"/>
    <mergeCell ref="A1053:B1053"/>
    <mergeCell ref="C1053:E1053"/>
    <mergeCell ref="A1054:B1054"/>
    <mergeCell ref="C1054:E1054"/>
    <mergeCell ref="A1055:B1055"/>
    <mergeCell ref="C1055:E1055"/>
    <mergeCell ref="A1056:B1056"/>
    <mergeCell ref="C1056:E1056"/>
    <mergeCell ref="A1057:B1057"/>
    <mergeCell ref="C1057:E1057"/>
    <mergeCell ref="A1058:B1058"/>
    <mergeCell ref="C1058:E1058"/>
    <mergeCell ref="A1041:B1041"/>
    <mergeCell ref="C1041:E1041"/>
    <mergeCell ref="A1042:B1042"/>
    <mergeCell ref="C1042:E1042"/>
    <mergeCell ref="A1043:B1043"/>
    <mergeCell ref="C1043:E1043"/>
    <mergeCell ref="A1044:B1044"/>
    <mergeCell ref="C1044:E1044"/>
    <mergeCell ref="A1045:B1045"/>
    <mergeCell ref="C1045:E1045"/>
    <mergeCell ref="A1046:B1046"/>
    <mergeCell ref="C1046:E1046"/>
    <mergeCell ref="A1047:B1047"/>
    <mergeCell ref="C1047:E1047"/>
    <mergeCell ref="A1048:B1048"/>
    <mergeCell ref="C1048:E1048"/>
    <mergeCell ref="A1049:B1049"/>
    <mergeCell ref="C1049:E1049"/>
    <mergeCell ref="A1032:B1032"/>
    <mergeCell ref="C1032:E1032"/>
    <mergeCell ref="A1033:B1033"/>
    <mergeCell ref="C1033:E1033"/>
    <mergeCell ref="A1034:B1034"/>
    <mergeCell ref="C1034:E1034"/>
    <mergeCell ref="A1035:B1035"/>
    <mergeCell ref="C1035:E1035"/>
    <mergeCell ref="A1036:B1036"/>
    <mergeCell ref="C1036:E1036"/>
    <mergeCell ref="A1037:B1037"/>
    <mergeCell ref="C1037:E1037"/>
    <mergeCell ref="A1038:B1038"/>
    <mergeCell ref="C1038:E1038"/>
    <mergeCell ref="A1039:B1039"/>
    <mergeCell ref="C1039:E1039"/>
    <mergeCell ref="A1040:B1040"/>
    <mergeCell ref="C1040:E1040"/>
    <mergeCell ref="A1023:B1023"/>
    <mergeCell ref="C1023:E1023"/>
    <mergeCell ref="A1024:B1024"/>
    <mergeCell ref="C1024:E1024"/>
    <mergeCell ref="A1025:B1025"/>
    <mergeCell ref="C1025:E1025"/>
    <mergeCell ref="A1026:B1026"/>
    <mergeCell ref="C1026:E1026"/>
    <mergeCell ref="A1027:B1027"/>
    <mergeCell ref="C1027:E1027"/>
    <mergeCell ref="A1028:B1028"/>
    <mergeCell ref="C1028:E1028"/>
    <mergeCell ref="A1029:B1029"/>
    <mergeCell ref="C1029:E1029"/>
    <mergeCell ref="A1030:B1030"/>
    <mergeCell ref="C1030:E1030"/>
    <mergeCell ref="A1031:B1031"/>
    <mergeCell ref="C1031:E1031"/>
    <mergeCell ref="A1014:B1014"/>
    <mergeCell ref="C1014:E1014"/>
    <mergeCell ref="A1015:B1015"/>
    <mergeCell ref="C1015:E1015"/>
    <mergeCell ref="A1016:B1016"/>
    <mergeCell ref="C1016:E1016"/>
    <mergeCell ref="A1017:B1017"/>
    <mergeCell ref="C1017:E1017"/>
    <mergeCell ref="A1018:B1018"/>
    <mergeCell ref="C1018:E1018"/>
    <mergeCell ref="A1019:B1019"/>
    <mergeCell ref="C1019:E1019"/>
    <mergeCell ref="A1020:B1020"/>
    <mergeCell ref="C1020:E1020"/>
    <mergeCell ref="A1021:B1021"/>
    <mergeCell ref="C1021:E1021"/>
    <mergeCell ref="A1022:B1022"/>
    <mergeCell ref="C1022:E1022"/>
    <mergeCell ref="A1005:B1005"/>
    <mergeCell ref="C1005:E1005"/>
    <mergeCell ref="A1006:B1006"/>
    <mergeCell ref="C1006:E1006"/>
    <mergeCell ref="A1007:B1007"/>
    <mergeCell ref="C1007:E1007"/>
    <mergeCell ref="A1008:B1008"/>
    <mergeCell ref="C1008:E1008"/>
    <mergeCell ref="A1009:B1009"/>
    <mergeCell ref="C1009:E1009"/>
    <mergeCell ref="A1010:B1010"/>
    <mergeCell ref="C1010:E1010"/>
    <mergeCell ref="A1011:B1011"/>
    <mergeCell ref="C1011:E1011"/>
    <mergeCell ref="A1012:B1012"/>
    <mergeCell ref="C1012:E1012"/>
    <mergeCell ref="A1013:B1013"/>
    <mergeCell ref="C1013:E1013"/>
    <mergeCell ref="A996:B996"/>
    <mergeCell ref="C996:E996"/>
    <mergeCell ref="A997:B997"/>
    <mergeCell ref="C997:E997"/>
    <mergeCell ref="A998:B998"/>
    <mergeCell ref="C998:E998"/>
    <mergeCell ref="A999:B999"/>
    <mergeCell ref="C999:E999"/>
    <mergeCell ref="A1000:B1000"/>
    <mergeCell ref="C1000:E1000"/>
    <mergeCell ref="A1001:B1001"/>
    <mergeCell ref="C1001:E1001"/>
    <mergeCell ref="A1002:B1002"/>
    <mergeCell ref="C1002:E1002"/>
    <mergeCell ref="A1003:B1003"/>
    <mergeCell ref="C1003:E1003"/>
    <mergeCell ref="A1004:B1004"/>
    <mergeCell ref="C1004:E1004"/>
    <mergeCell ref="A987:B987"/>
    <mergeCell ref="C987:E987"/>
    <mergeCell ref="A988:B988"/>
    <mergeCell ref="C988:E988"/>
    <mergeCell ref="A989:B989"/>
    <mergeCell ref="C989:E989"/>
    <mergeCell ref="A990:B990"/>
    <mergeCell ref="C990:E990"/>
    <mergeCell ref="A991:B991"/>
    <mergeCell ref="C991:E991"/>
    <mergeCell ref="A992:B992"/>
    <mergeCell ref="C992:E992"/>
    <mergeCell ref="A993:B993"/>
    <mergeCell ref="C993:E993"/>
    <mergeCell ref="A994:B994"/>
    <mergeCell ref="C994:E994"/>
    <mergeCell ref="A995:B995"/>
    <mergeCell ref="C995:E995"/>
    <mergeCell ref="A978:B978"/>
    <mergeCell ref="C978:E978"/>
    <mergeCell ref="A979:B979"/>
    <mergeCell ref="C979:E979"/>
    <mergeCell ref="A980:B980"/>
    <mergeCell ref="C980:E980"/>
    <mergeCell ref="A981:B981"/>
    <mergeCell ref="C981:E981"/>
    <mergeCell ref="A982:B982"/>
    <mergeCell ref="C982:E982"/>
    <mergeCell ref="A983:B983"/>
    <mergeCell ref="C983:E983"/>
    <mergeCell ref="A984:B984"/>
    <mergeCell ref="C984:E984"/>
    <mergeCell ref="A985:B985"/>
    <mergeCell ref="C985:E985"/>
    <mergeCell ref="A986:B986"/>
    <mergeCell ref="C986:E986"/>
    <mergeCell ref="A969:B969"/>
    <mergeCell ref="C969:E969"/>
    <mergeCell ref="A970:B970"/>
    <mergeCell ref="C970:E970"/>
    <mergeCell ref="A971:B971"/>
    <mergeCell ref="C971:E971"/>
    <mergeCell ref="A972:B972"/>
    <mergeCell ref="C972:E972"/>
    <mergeCell ref="A973:B973"/>
    <mergeCell ref="C973:E973"/>
    <mergeCell ref="A974:B974"/>
    <mergeCell ref="C974:E974"/>
    <mergeCell ref="A975:B975"/>
    <mergeCell ref="C975:E975"/>
    <mergeCell ref="A976:B976"/>
    <mergeCell ref="C976:E976"/>
    <mergeCell ref="A977:B977"/>
    <mergeCell ref="C977:E977"/>
    <mergeCell ref="A960:B960"/>
    <mergeCell ref="C960:E960"/>
    <mergeCell ref="A961:B961"/>
    <mergeCell ref="C961:E961"/>
    <mergeCell ref="A962:B962"/>
    <mergeCell ref="C962:E962"/>
    <mergeCell ref="A963:B963"/>
    <mergeCell ref="C963:E963"/>
    <mergeCell ref="A964:B964"/>
    <mergeCell ref="C964:E964"/>
    <mergeCell ref="A965:B965"/>
    <mergeCell ref="C965:E965"/>
    <mergeCell ref="A966:B966"/>
    <mergeCell ref="C966:E966"/>
    <mergeCell ref="A967:B967"/>
    <mergeCell ref="C967:E967"/>
    <mergeCell ref="A968:B968"/>
    <mergeCell ref="C968:E968"/>
    <mergeCell ref="A951:B951"/>
    <mergeCell ref="C951:E951"/>
    <mergeCell ref="A952:B952"/>
    <mergeCell ref="C952:E952"/>
    <mergeCell ref="A953:B953"/>
    <mergeCell ref="C953:E953"/>
    <mergeCell ref="A954:B954"/>
    <mergeCell ref="C954:E954"/>
    <mergeCell ref="A955:B955"/>
    <mergeCell ref="C955:E955"/>
    <mergeCell ref="A956:B956"/>
    <mergeCell ref="C956:E956"/>
    <mergeCell ref="A957:B957"/>
    <mergeCell ref="C957:E957"/>
    <mergeCell ref="A958:B958"/>
    <mergeCell ref="C958:E958"/>
    <mergeCell ref="A959:B959"/>
    <mergeCell ref="C959:E959"/>
    <mergeCell ref="A942:B942"/>
    <mergeCell ref="C942:E942"/>
    <mergeCell ref="A943:B943"/>
    <mergeCell ref="C943:E943"/>
    <mergeCell ref="A944:B944"/>
    <mergeCell ref="C944:E944"/>
    <mergeCell ref="A945:B945"/>
    <mergeCell ref="C945:E945"/>
    <mergeCell ref="A946:B946"/>
    <mergeCell ref="C946:E946"/>
    <mergeCell ref="A947:B947"/>
    <mergeCell ref="C947:E947"/>
    <mergeCell ref="A948:B948"/>
    <mergeCell ref="C948:E948"/>
    <mergeCell ref="A949:B949"/>
    <mergeCell ref="C949:E949"/>
    <mergeCell ref="A950:B950"/>
    <mergeCell ref="C950:E950"/>
    <mergeCell ref="A933:B933"/>
    <mergeCell ref="C933:E933"/>
    <mergeCell ref="A934:B934"/>
    <mergeCell ref="C934:E934"/>
    <mergeCell ref="A935:B935"/>
    <mergeCell ref="C935:E935"/>
    <mergeCell ref="A936:B936"/>
    <mergeCell ref="C936:E936"/>
    <mergeCell ref="A937:B937"/>
    <mergeCell ref="C937:E937"/>
    <mergeCell ref="A938:B938"/>
    <mergeCell ref="C938:E938"/>
    <mergeCell ref="A939:B939"/>
    <mergeCell ref="C939:E939"/>
    <mergeCell ref="A940:B940"/>
    <mergeCell ref="C940:E940"/>
    <mergeCell ref="A941:B941"/>
    <mergeCell ref="C941:E941"/>
    <mergeCell ref="A924:B924"/>
    <mergeCell ref="C924:E924"/>
    <mergeCell ref="A925:B925"/>
    <mergeCell ref="C925:E925"/>
    <mergeCell ref="A926:B926"/>
    <mergeCell ref="C926:E926"/>
    <mergeCell ref="A927:B927"/>
    <mergeCell ref="C927:E927"/>
    <mergeCell ref="A928:B928"/>
    <mergeCell ref="C928:E928"/>
    <mergeCell ref="A929:B929"/>
    <mergeCell ref="C929:E929"/>
    <mergeCell ref="A930:B930"/>
    <mergeCell ref="C930:E930"/>
    <mergeCell ref="A931:B931"/>
    <mergeCell ref="C931:E931"/>
    <mergeCell ref="A932:B932"/>
    <mergeCell ref="C932:E932"/>
    <mergeCell ref="A915:B915"/>
    <mergeCell ref="C915:E915"/>
    <mergeCell ref="A916:B916"/>
    <mergeCell ref="C916:E916"/>
    <mergeCell ref="A917:B917"/>
    <mergeCell ref="C917:E917"/>
    <mergeCell ref="A918:B918"/>
    <mergeCell ref="C918:E918"/>
    <mergeCell ref="A919:B919"/>
    <mergeCell ref="C919:E919"/>
    <mergeCell ref="A920:B920"/>
    <mergeCell ref="C920:E920"/>
    <mergeCell ref="A921:B921"/>
    <mergeCell ref="C921:E921"/>
    <mergeCell ref="A922:B922"/>
    <mergeCell ref="C922:E922"/>
    <mergeCell ref="A923:B923"/>
    <mergeCell ref="C923:E923"/>
    <mergeCell ref="A906:B906"/>
    <mergeCell ref="C906:E906"/>
    <mergeCell ref="A907:B907"/>
    <mergeCell ref="C907:E907"/>
    <mergeCell ref="A908:B908"/>
    <mergeCell ref="C908:E908"/>
    <mergeCell ref="A909:B909"/>
    <mergeCell ref="C909:E909"/>
    <mergeCell ref="A910:B910"/>
    <mergeCell ref="C910:E910"/>
    <mergeCell ref="A911:B911"/>
    <mergeCell ref="C911:E911"/>
    <mergeCell ref="A912:B912"/>
    <mergeCell ref="C912:E912"/>
    <mergeCell ref="A913:B913"/>
    <mergeCell ref="C913:E913"/>
    <mergeCell ref="A914:B914"/>
    <mergeCell ref="C914:E914"/>
    <mergeCell ref="A897:B897"/>
    <mergeCell ref="C897:E897"/>
    <mergeCell ref="A898:B898"/>
    <mergeCell ref="C898:E898"/>
    <mergeCell ref="A899:B899"/>
    <mergeCell ref="C899:E899"/>
    <mergeCell ref="A900:B900"/>
    <mergeCell ref="C900:E900"/>
    <mergeCell ref="A901:B901"/>
    <mergeCell ref="C901:E901"/>
    <mergeCell ref="A902:B902"/>
    <mergeCell ref="C902:E902"/>
    <mergeCell ref="A903:B903"/>
    <mergeCell ref="C903:E903"/>
    <mergeCell ref="A904:B904"/>
    <mergeCell ref="C904:E904"/>
    <mergeCell ref="A905:B905"/>
    <mergeCell ref="C905:E905"/>
    <mergeCell ref="A888:B888"/>
    <mergeCell ref="C888:E888"/>
    <mergeCell ref="A889:B889"/>
    <mergeCell ref="C889:E889"/>
    <mergeCell ref="A890:B890"/>
    <mergeCell ref="C890:E890"/>
    <mergeCell ref="A891:B891"/>
    <mergeCell ref="C891:E891"/>
    <mergeCell ref="A892:B892"/>
    <mergeCell ref="C892:E892"/>
    <mergeCell ref="A893:B893"/>
    <mergeCell ref="C893:E893"/>
    <mergeCell ref="A894:B894"/>
    <mergeCell ref="C894:E894"/>
    <mergeCell ref="A895:B895"/>
    <mergeCell ref="C895:E895"/>
    <mergeCell ref="A896:B896"/>
    <mergeCell ref="C896:E896"/>
    <mergeCell ref="A879:B879"/>
    <mergeCell ref="C879:E879"/>
    <mergeCell ref="A880:B880"/>
    <mergeCell ref="C880:E880"/>
    <mergeCell ref="A881:B881"/>
    <mergeCell ref="C881:E881"/>
    <mergeCell ref="A882:B882"/>
    <mergeCell ref="C882:E882"/>
    <mergeCell ref="A883:B883"/>
    <mergeCell ref="C883:E883"/>
    <mergeCell ref="A884:B884"/>
    <mergeCell ref="C884:E884"/>
    <mergeCell ref="A885:B885"/>
    <mergeCell ref="C885:E885"/>
    <mergeCell ref="A886:B886"/>
    <mergeCell ref="C886:E886"/>
    <mergeCell ref="A887:B887"/>
    <mergeCell ref="C887:E887"/>
    <mergeCell ref="A870:B870"/>
    <mergeCell ref="C870:E870"/>
    <mergeCell ref="A871:B871"/>
    <mergeCell ref="C871:E871"/>
    <mergeCell ref="A872:B872"/>
    <mergeCell ref="C872:E872"/>
    <mergeCell ref="A873:B873"/>
    <mergeCell ref="C873:E873"/>
    <mergeCell ref="A874:B874"/>
    <mergeCell ref="C874:E874"/>
    <mergeCell ref="A875:B875"/>
    <mergeCell ref="C875:E875"/>
    <mergeCell ref="A876:B876"/>
    <mergeCell ref="C876:E876"/>
    <mergeCell ref="A877:B877"/>
    <mergeCell ref="C877:E877"/>
    <mergeCell ref="A878:B878"/>
    <mergeCell ref="C878:E878"/>
    <mergeCell ref="A861:B861"/>
    <mergeCell ref="C861:E861"/>
    <mergeCell ref="A862:B862"/>
    <mergeCell ref="C862:E862"/>
    <mergeCell ref="A863:B863"/>
    <mergeCell ref="C863:E863"/>
    <mergeCell ref="A864:B864"/>
    <mergeCell ref="C864:E864"/>
    <mergeCell ref="A865:B865"/>
    <mergeCell ref="C865:E865"/>
    <mergeCell ref="A866:B866"/>
    <mergeCell ref="C866:E866"/>
    <mergeCell ref="A867:B867"/>
    <mergeCell ref="C867:E867"/>
    <mergeCell ref="A868:B868"/>
    <mergeCell ref="C868:E868"/>
    <mergeCell ref="A869:B869"/>
    <mergeCell ref="C869:E869"/>
    <mergeCell ref="A852:B852"/>
    <mergeCell ref="C852:E852"/>
    <mergeCell ref="A853:B853"/>
    <mergeCell ref="C853:E853"/>
    <mergeCell ref="A854:B854"/>
    <mergeCell ref="C854:E854"/>
    <mergeCell ref="A855:B855"/>
    <mergeCell ref="C855:E855"/>
    <mergeCell ref="A856:B856"/>
    <mergeCell ref="C856:E856"/>
    <mergeCell ref="A857:B857"/>
    <mergeCell ref="C857:E857"/>
    <mergeCell ref="A858:B858"/>
    <mergeCell ref="C858:E858"/>
    <mergeCell ref="A859:B859"/>
    <mergeCell ref="C859:E859"/>
    <mergeCell ref="A860:B860"/>
    <mergeCell ref="C860:E860"/>
    <mergeCell ref="A843:B843"/>
    <mergeCell ref="C843:E843"/>
    <mergeCell ref="A844:B844"/>
    <mergeCell ref="C844:E844"/>
    <mergeCell ref="A845:B845"/>
    <mergeCell ref="C845:E845"/>
    <mergeCell ref="A846:B846"/>
    <mergeCell ref="C846:E846"/>
    <mergeCell ref="A847:B847"/>
    <mergeCell ref="C847:E847"/>
    <mergeCell ref="A848:B848"/>
    <mergeCell ref="C848:E848"/>
    <mergeCell ref="A849:B849"/>
    <mergeCell ref="C849:E849"/>
    <mergeCell ref="A850:B850"/>
    <mergeCell ref="C850:E850"/>
    <mergeCell ref="A851:B851"/>
    <mergeCell ref="C851:E851"/>
    <mergeCell ref="A834:B834"/>
    <mergeCell ref="C834:E834"/>
    <mergeCell ref="A835:B835"/>
    <mergeCell ref="C835:E835"/>
    <mergeCell ref="A836:B836"/>
    <mergeCell ref="C836:E836"/>
    <mergeCell ref="A837:B837"/>
    <mergeCell ref="C837:E837"/>
    <mergeCell ref="A838:B838"/>
    <mergeCell ref="C838:E838"/>
    <mergeCell ref="A839:B839"/>
    <mergeCell ref="C839:E839"/>
    <mergeCell ref="A840:B840"/>
    <mergeCell ref="C840:E840"/>
    <mergeCell ref="A841:B841"/>
    <mergeCell ref="C841:E841"/>
    <mergeCell ref="A842:B842"/>
    <mergeCell ref="C842:E842"/>
    <mergeCell ref="A825:B825"/>
    <mergeCell ref="C825:E825"/>
    <mergeCell ref="A826:B826"/>
    <mergeCell ref="C826:E826"/>
    <mergeCell ref="A827:B827"/>
    <mergeCell ref="C827:E827"/>
    <mergeCell ref="A828:B828"/>
    <mergeCell ref="C828:E828"/>
    <mergeCell ref="A829:B829"/>
    <mergeCell ref="C829:E829"/>
    <mergeCell ref="A830:B830"/>
    <mergeCell ref="C830:E830"/>
    <mergeCell ref="A831:B831"/>
    <mergeCell ref="C831:E831"/>
    <mergeCell ref="A832:B832"/>
    <mergeCell ref="C832:E832"/>
    <mergeCell ref="A833:B833"/>
    <mergeCell ref="C833:E833"/>
    <mergeCell ref="A816:B816"/>
    <mergeCell ref="C816:E816"/>
    <mergeCell ref="A817:B817"/>
    <mergeCell ref="C817:E817"/>
    <mergeCell ref="A818:B818"/>
    <mergeCell ref="C818:E818"/>
    <mergeCell ref="A819:B819"/>
    <mergeCell ref="C819:E819"/>
    <mergeCell ref="A820:B820"/>
    <mergeCell ref="C820:E820"/>
    <mergeCell ref="A821:B821"/>
    <mergeCell ref="C821:E821"/>
    <mergeCell ref="A822:B822"/>
    <mergeCell ref="C822:E822"/>
    <mergeCell ref="A823:B823"/>
    <mergeCell ref="C823:E823"/>
    <mergeCell ref="A824:B824"/>
    <mergeCell ref="C824:E824"/>
    <mergeCell ref="A807:B807"/>
    <mergeCell ref="C807:E807"/>
    <mergeCell ref="A808:B808"/>
    <mergeCell ref="C808:E808"/>
    <mergeCell ref="A809:B809"/>
    <mergeCell ref="C809:E809"/>
    <mergeCell ref="A810:B810"/>
    <mergeCell ref="C810:E810"/>
    <mergeCell ref="A811:B811"/>
    <mergeCell ref="C811:E811"/>
    <mergeCell ref="A812:B812"/>
    <mergeCell ref="C812:E812"/>
    <mergeCell ref="A813:B813"/>
    <mergeCell ref="C813:E813"/>
    <mergeCell ref="A814:B814"/>
    <mergeCell ref="C814:E814"/>
    <mergeCell ref="A815:B815"/>
    <mergeCell ref="C815:E815"/>
    <mergeCell ref="A798:B798"/>
    <mergeCell ref="C798:E798"/>
    <mergeCell ref="A799:B799"/>
    <mergeCell ref="C799:E799"/>
    <mergeCell ref="A800:B800"/>
    <mergeCell ref="C800:E800"/>
    <mergeCell ref="A801:B801"/>
    <mergeCell ref="C801:E801"/>
    <mergeCell ref="A802:B802"/>
    <mergeCell ref="C802:E802"/>
    <mergeCell ref="A803:B803"/>
    <mergeCell ref="C803:E803"/>
    <mergeCell ref="A804:B804"/>
    <mergeCell ref="C804:E804"/>
    <mergeCell ref="A805:B805"/>
    <mergeCell ref="C805:E805"/>
    <mergeCell ref="A806:B806"/>
    <mergeCell ref="C806:E806"/>
    <mergeCell ref="A789:B789"/>
    <mergeCell ref="C789:E789"/>
    <mergeCell ref="A790:B790"/>
    <mergeCell ref="C790:E790"/>
    <mergeCell ref="A791:B791"/>
    <mergeCell ref="C791:E791"/>
    <mergeCell ref="A792:B792"/>
    <mergeCell ref="C792:E792"/>
    <mergeCell ref="A793:B793"/>
    <mergeCell ref="C793:E793"/>
    <mergeCell ref="A794:B794"/>
    <mergeCell ref="C794:E794"/>
    <mergeCell ref="A795:B795"/>
    <mergeCell ref="C795:E795"/>
    <mergeCell ref="A796:B796"/>
    <mergeCell ref="C796:E796"/>
    <mergeCell ref="A797:B797"/>
    <mergeCell ref="C797:E797"/>
    <mergeCell ref="A780:B780"/>
    <mergeCell ref="C780:E780"/>
    <mergeCell ref="A781:B781"/>
    <mergeCell ref="C781:E781"/>
    <mergeCell ref="A782:B782"/>
    <mergeCell ref="C782:E782"/>
    <mergeCell ref="A783:B783"/>
    <mergeCell ref="C783:E783"/>
    <mergeCell ref="A784:B784"/>
    <mergeCell ref="C784:E784"/>
    <mergeCell ref="A785:B785"/>
    <mergeCell ref="C785:E785"/>
    <mergeCell ref="A786:B786"/>
    <mergeCell ref="C786:E786"/>
    <mergeCell ref="A787:B787"/>
    <mergeCell ref="C787:E787"/>
    <mergeCell ref="A788:B788"/>
    <mergeCell ref="C788:E788"/>
    <mergeCell ref="A771:B771"/>
    <mergeCell ref="C771:E771"/>
    <mergeCell ref="A772:B772"/>
    <mergeCell ref="C772:E772"/>
    <mergeCell ref="A773:B773"/>
    <mergeCell ref="C773:E773"/>
    <mergeCell ref="A774:B774"/>
    <mergeCell ref="C774:E774"/>
    <mergeCell ref="A775:B775"/>
    <mergeCell ref="C775:E775"/>
    <mergeCell ref="A776:B776"/>
    <mergeCell ref="C776:E776"/>
    <mergeCell ref="A777:B777"/>
    <mergeCell ref="C777:E777"/>
    <mergeCell ref="A778:B778"/>
    <mergeCell ref="C778:E778"/>
    <mergeCell ref="A779:B779"/>
    <mergeCell ref="C779:E779"/>
    <mergeCell ref="A762:B762"/>
    <mergeCell ref="C762:E762"/>
    <mergeCell ref="A763:B763"/>
    <mergeCell ref="C763:E763"/>
    <mergeCell ref="A764:B764"/>
    <mergeCell ref="C764:E764"/>
    <mergeCell ref="A765:B765"/>
    <mergeCell ref="C765:E765"/>
    <mergeCell ref="A766:B766"/>
    <mergeCell ref="C766:E766"/>
    <mergeCell ref="A767:B767"/>
    <mergeCell ref="C767:E767"/>
    <mergeCell ref="A768:B768"/>
    <mergeCell ref="C768:E768"/>
    <mergeCell ref="A769:B769"/>
    <mergeCell ref="C769:E769"/>
    <mergeCell ref="A770:B770"/>
    <mergeCell ref="C770:E770"/>
    <mergeCell ref="A753:B753"/>
    <mergeCell ref="C753:E753"/>
    <mergeCell ref="A754:B754"/>
    <mergeCell ref="C754:E754"/>
    <mergeCell ref="A755:B755"/>
    <mergeCell ref="C755:E755"/>
    <mergeCell ref="A756:B756"/>
    <mergeCell ref="C756:E756"/>
    <mergeCell ref="A757:B757"/>
    <mergeCell ref="C757:E757"/>
    <mergeCell ref="A758:B758"/>
    <mergeCell ref="C758:E758"/>
    <mergeCell ref="A759:B759"/>
    <mergeCell ref="C759:E759"/>
    <mergeCell ref="A760:B760"/>
    <mergeCell ref="C760:E760"/>
    <mergeCell ref="A761:B761"/>
    <mergeCell ref="C761:E761"/>
    <mergeCell ref="A744:B744"/>
    <mergeCell ref="C744:E744"/>
    <mergeCell ref="A745:B745"/>
    <mergeCell ref="C745:E745"/>
    <mergeCell ref="A746:B746"/>
    <mergeCell ref="C746:E746"/>
    <mergeCell ref="A747:B747"/>
    <mergeCell ref="C747:E747"/>
    <mergeCell ref="A748:B748"/>
    <mergeCell ref="C748:E748"/>
    <mergeCell ref="A749:B749"/>
    <mergeCell ref="C749:E749"/>
    <mergeCell ref="A750:B750"/>
    <mergeCell ref="C750:E750"/>
    <mergeCell ref="A751:B751"/>
    <mergeCell ref="C751:E751"/>
    <mergeCell ref="A752:B752"/>
    <mergeCell ref="C752:E752"/>
    <mergeCell ref="A735:B735"/>
    <mergeCell ref="C735:E735"/>
    <mergeCell ref="A736:B736"/>
    <mergeCell ref="C736:E736"/>
    <mergeCell ref="A737:B737"/>
    <mergeCell ref="C737:E737"/>
    <mergeCell ref="A738:B738"/>
    <mergeCell ref="C738:E738"/>
    <mergeCell ref="A739:B739"/>
    <mergeCell ref="C739:E739"/>
    <mergeCell ref="A740:B740"/>
    <mergeCell ref="C740:E740"/>
    <mergeCell ref="A741:B741"/>
    <mergeCell ref="C741:E741"/>
    <mergeCell ref="A742:B742"/>
    <mergeCell ref="C742:E742"/>
    <mergeCell ref="A743:B743"/>
    <mergeCell ref="C743:E743"/>
    <mergeCell ref="A726:B726"/>
    <mergeCell ref="C726:E726"/>
    <mergeCell ref="A727:B727"/>
    <mergeCell ref="C727:E727"/>
    <mergeCell ref="A728:B728"/>
    <mergeCell ref="C728:E728"/>
    <mergeCell ref="A729:B729"/>
    <mergeCell ref="C729:E729"/>
    <mergeCell ref="A730:B730"/>
    <mergeCell ref="C730:E730"/>
    <mergeCell ref="A731:B731"/>
    <mergeCell ref="C731:E731"/>
    <mergeCell ref="A732:B732"/>
    <mergeCell ref="C732:E732"/>
    <mergeCell ref="A733:B733"/>
    <mergeCell ref="C733:E733"/>
    <mergeCell ref="A734:B734"/>
    <mergeCell ref="C734:E734"/>
    <mergeCell ref="A717:B717"/>
    <mergeCell ref="C717:E717"/>
    <mergeCell ref="A718:B718"/>
    <mergeCell ref="C718:E718"/>
    <mergeCell ref="A719:B719"/>
    <mergeCell ref="C719:E719"/>
    <mergeCell ref="A720:B720"/>
    <mergeCell ref="C720:E720"/>
    <mergeCell ref="A721:B721"/>
    <mergeCell ref="C721:E721"/>
    <mergeCell ref="A722:B722"/>
    <mergeCell ref="C722:E722"/>
    <mergeCell ref="A723:B723"/>
    <mergeCell ref="C723:E723"/>
    <mergeCell ref="A724:B724"/>
    <mergeCell ref="C724:E724"/>
    <mergeCell ref="A725:B725"/>
    <mergeCell ref="C725:E725"/>
    <mergeCell ref="A708:B708"/>
    <mergeCell ref="C708:E708"/>
    <mergeCell ref="A709:B709"/>
    <mergeCell ref="C709:E709"/>
    <mergeCell ref="A710:B710"/>
    <mergeCell ref="C710:E710"/>
    <mergeCell ref="A711:B711"/>
    <mergeCell ref="C711:E711"/>
    <mergeCell ref="A712:B712"/>
    <mergeCell ref="C712:E712"/>
    <mergeCell ref="A713:B713"/>
    <mergeCell ref="C713:E713"/>
    <mergeCell ref="A714:B714"/>
    <mergeCell ref="C714:E714"/>
    <mergeCell ref="A715:B715"/>
    <mergeCell ref="C715:E715"/>
    <mergeCell ref="A716:B716"/>
    <mergeCell ref="C716:E716"/>
    <mergeCell ref="A1:E1"/>
    <mergeCell ref="F1:I5"/>
    <mergeCell ref="J1:O1"/>
    <mergeCell ref="A2:E2"/>
    <mergeCell ref="J2:O5"/>
    <mergeCell ref="A3:E3"/>
    <mergeCell ref="A4:E4"/>
    <mergeCell ref="A5:E5"/>
    <mergeCell ref="A702:B702"/>
    <mergeCell ref="A704:B704"/>
    <mergeCell ref="C704:E704"/>
    <mergeCell ref="A705:B705"/>
    <mergeCell ref="C705:E705"/>
    <mergeCell ref="A706:B706"/>
    <mergeCell ref="C706:E706"/>
    <mergeCell ref="A707:B707"/>
    <mergeCell ref="C707:E707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2023-10-30T21:52:33Z</dcterms:modified>
</cp:coreProperties>
</file>